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E10" i="12" l="1"/>
  <c r="E7" i="12"/>
  <c r="O31" i="2"/>
  <c r="I12" i="2"/>
  <c r="H12" i="2"/>
  <c r="G12" i="2"/>
  <c r="F12" i="2"/>
  <c r="O12" i="2" s="1"/>
  <c r="E12" i="2"/>
  <c r="G11" i="2"/>
  <c r="G13" i="2" s="1"/>
  <c r="E11" i="2"/>
  <c r="E13" i="2" s="1"/>
  <c r="D11" i="2"/>
  <c r="F10" i="12"/>
  <c r="F11" i="2" s="1"/>
  <c r="F13" i="2" s="1"/>
  <c r="G10" i="12"/>
  <c r="H10" i="12"/>
  <c r="H11" i="2" s="1"/>
  <c r="H13" i="2" s="1"/>
  <c r="I10" i="12"/>
  <c r="I11" i="2" s="1"/>
  <c r="I13" i="2" s="1"/>
  <c r="I44" i="10" l="1"/>
  <c r="I19" i="9"/>
  <c r="I15" i="11"/>
  <c r="H44" i="10" l="1"/>
  <c r="O29" i="10"/>
  <c r="H19" i="9"/>
  <c r="O15" i="9"/>
  <c r="H15" i="11"/>
  <c r="O39" i="10" l="1"/>
  <c r="G11" i="10"/>
  <c r="G44" i="10" s="1"/>
  <c r="G19" i="9"/>
  <c r="G15" i="11"/>
  <c r="G11" i="11"/>
  <c r="F15" i="11" l="1"/>
  <c r="O23" i="10" l="1"/>
  <c r="O24" i="10"/>
  <c r="O25" i="10"/>
  <c r="O26" i="10"/>
  <c r="O27" i="10"/>
  <c r="O40" i="10"/>
  <c r="F44" i="10"/>
  <c r="F19" i="9"/>
  <c r="E11" i="10" l="1"/>
  <c r="E44" i="10"/>
  <c r="O37" i="10"/>
  <c r="E19" i="9"/>
  <c r="O17" i="9"/>
  <c r="E18" i="11"/>
  <c r="E14" i="11"/>
  <c r="O14" i="11" s="1"/>
  <c r="E13" i="11"/>
  <c r="O13" i="11" s="1"/>
  <c r="E9" i="11"/>
  <c r="E15" i="11"/>
  <c r="C10" i="12" l="1"/>
  <c r="C11" i="2" l="1"/>
  <c r="O10" i="12"/>
  <c r="Q10" i="12" s="1"/>
  <c r="D44" i="10"/>
  <c r="O43" i="10"/>
  <c r="O41" i="10"/>
  <c r="O21" i="10"/>
  <c r="O11" i="10"/>
  <c r="O9" i="10"/>
  <c r="O18" i="9"/>
  <c r="D19" i="9"/>
  <c r="O17" i="11"/>
  <c r="D15" i="11"/>
  <c r="O38" i="10" l="1"/>
  <c r="O36" i="10"/>
  <c r="O35" i="10"/>
  <c r="O34" i="10"/>
  <c r="O30" i="10"/>
  <c r="O31" i="10"/>
  <c r="O32" i="10"/>
  <c r="O33" i="10"/>
  <c r="O42" i="10"/>
  <c r="O10" i="11"/>
  <c r="O11" i="11"/>
  <c r="C20" i="11"/>
  <c r="O20" i="11" s="1"/>
  <c r="C19" i="11"/>
  <c r="C18" i="11"/>
  <c r="C16" i="11"/>
  <c r="C15" i="11"/>
  <c r="O15" i="11" s="1"/>
  <c r="C12" i="11"/>
  <c r="O19" i="11"/>
  <c r="O18" i="11"/>
  <c r="O16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16" i="9"/>
  <c r="O14" i="9"/>
  <c r="O13" i="9"/>
  <c r="O12" i="9"/>
  <c r="O11" i="9"/>
  <c r="O9" i="9"/>
  <c r="O9" i="11"/>
  <c r="C19" i="8"/>
  <c r="D19" i="8"/>
  <c r="E19" i="8"/>
  <c r="E23" i="2" s="1"/>
  <c r="F19" i="8"/>
  <c r="G19" i="8"/>
  <c r="H19" i="8"/>
  <c r="I19" i="8"/>
  <c r="I23" i="2" s="1"/>
  <c r="J19" i="8"/>
  <c r="K19" i="8"/>
  <c r="L19" i="8"/>
  <c r="M19" i="8"/>
  <c r="M23" i="2" s="1"/>
  <c r="N19" i="8"/>
  <c r="N23" i="2"/>
  <c r="L23" i="2"/>
  <c r="J23" i="2"/>
  <c r="H23" i="2"/>
  <c r="G23" i="2"/>
  <c r="F23" i="2"/>
  <c r="D23" i="2"/>
  <c r="C23" i="2"/>
  <c r="G22" i="2"/>
  <c r="N10" i="17"/>
  <c r="N22" i="2" s="1"/>
  <c r="M10" i="17"/>
  <c r="M22" i="2" s="1"/>
  <c r="L10" i="17"/>
  <c r="L22" i="2" s="1"/>
  <c r="K10" i="17"/>
  <c r="K22" i="2" s="1"/>
  <c r="J10" i="17"/>
  <c r="J22" i="2" s="1"/>
  <c r="I10" i="17"/>
  <c r="I22" i="2" s="1"/>
  <c r="H10" i="17"/>
  <c r="H22" i="2" s="1"/>
  <c r="G10" i="17"/>
  <c r="F10" i="17"/>
  <c r="F22" i="2" s="1"/>
  <c r="E10" i="17"/>
  <c r="E22" i="2" s="1"/>
  <c r="D10" i="17"/>
  <c r="D22" i="2" s="1"/>
  <c r="C10" i="17"/>
  <c r="C22" i="2" s="1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4" i="10"/>
  <c r="N21" i="2" s="1"/>
  <c r="M44" i="10"/>
  <c r="M21" i="2" s="1"/>
  <c r="L44" i="10"/>
  <c r="L21" i="2" s="1"/>
  <c r="K44" i="10"/>
  <c r="K21" i="2" s="1"/>
  <c r="J44" i="10"/>
  <c r="J21" i="2" s="1"/>
  <c r="I21" i="2"/>
  <c r="H21" i="2"/>
  <c r="G21" i="2"/>
  <c r="F21" i="2"/>
  <c r="E21" i="2"/>
  <c r="D21" i="2"/>
  <c r="C44" i="10"/>
  <c r="C21" i="2" s="1"/>
  <c r="N12" i="12"/>
  <c r="M12" i="12"/>
  <c r="L12" i="12"/>
  <c r="K12" i="12"/>
  <c r="J12" i="12"/>
  <c r="I12" i="12"/>
  <c r="H12" i="12"/>
  <c r="G12" i="12"/>
  <c r="F12" i="12"/>
  <c r="E12" i="12"/>
  <c r="D12" i="12"/>
  <c r="D13" i="2" s="1"/>
  <c r="C12" i="12"/>
  <c r="C13" i="2" s="1"/>
  <c r="O11" i="12"/>
  <c r="O12" i="12" s="1"/>
  <c r="D10" i="2"/>
  <c r="D18" i="2" s="1"/>
  <c r="E10" i="2"/>
  <c r="E18" i="2" s="1"/>
  <c r="F10" i="2"/>
  <c r="F18" i="2" s="1"/>
  <c r="G10" i="2"/>
  <c r="G18" i="2" s="1"/>
  <c r="H10" i="2"/>
  <c r="H18" i="2" s="1"/>
  <c r="I10" i="2"/>
  <c r="I18" i="2"/>
  <c r="J10" i="2"/>
  <c r="J18" i="2" s="1"/>
  <c r="K10" i="2"/>
  <c r="K18" i="2" s="1"/>
  <c r="L10" i="2"/>
  <c r="L18" i="2" s="1"/>
  <c r="M10" i="2"/>
  <c r="M18" i="2" s="1"/>
  <c r="N10" i="2"/>
  <c r="N18" i="2"/>
  <c r="O10" i="2"/>
  <c r="O18" i="2" s="1"/>
  <c r="P10" i="2"/>
  <c r="J11" i="2"/>
  <c r="J13" i="2" s="1"/>
  <c r="K11" i="2"/>
  <c r="K13" i="2"/>
  <c r="L11" i="2"/>
  <c r="L13" i="2" s="1"/>
  <c r="M11" i="2"/>
  <c r="M13" i="2" s="1"/>
  <c r="N11" i="2"/>
  <c r="N13" i="2" s="1"/>
  <c r="C17" i="2"/>
  <c r="D17" i="2"/>
  <c r="C18" i="2"/>
  <c r="P18" i="2"/>
  <c r="M24" i="11"/>
  <c r="M19" i="2" s="1"/>
  <c r="K24" i="11"/>
  <c r="K19" i="2" s="1"/>
  <c r="O23" i="11"/>
  <c r="O22" i="11"/>
  <c r="O21" i="11"/>
  <c r="N19" i="9"/>
  <c r="N20" i="2" s="1"/>
  <c r="O18" i="8"/>
  <c r="M19" i="9"/>
  <c r="M20" i="2" s="1"/>
  <c r="L19" i="9"/>
  <c r="L20" i="2" s="1"/>
  <c r="L24" i="11"/>
  <c r="L19" i="2" s="1"/>
  <c r="I24" i="11"/>
  <c r="I19" i="2" s="1"/>
  <c r="H24" i="11"/>
  <c r="H19" i="2" s="1"/>
  <c r="G24" i="11"/>
  <c r="G19" i="2" s="1"/>
  <c r="F24" i="11"/>
  <c r="F19" i="2" s="1"/>
  <c r="O16" i="8"/>
  <c r="E24" i="11"/>
  <c r="E19" i="2" s="1"/>
  <c r="D24" i="11"/>
  <c r="D19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4" i="11"/>
  <c r="C19" i="2" s="1"/>
  <c r="N24" i="11"/>
  <c r="N19" i="2" s="1"/>
  <c r="J24" i="11"/>
  <c r="J19" i="2" s="1"/>
  <c r="O10" i="9"/>
  <c r="I20" i="2"/>
  <c r="G20" i="2"/>
  <c r="F20" i="2"/>
  <c r="O11" i="8"/>
  <c r="O19" i="8"/>
  <c r="K23" i="2"/>
  <c r="O14" i="8"/>
  <c r="O15" i="8"/>
  <c r="O13" i="8"/>
  <c r="O17" i="8"/>
  <c r="O10" i="8"/>
  <c r="C19" i="9"/>
  <c r="C20" i="2" s="1"/>
  <c r="K19" i="9"/>
  <c r="K20" i="2" s="1"/>
  <c r="J19" i="9"/>
  <c r="J20" i="2" s="1"/>
  <c r="H20" i="2"/>
  <c r="E20" i="2"/>
  <c r="D20" i="2"/>
  <c r="O23" i="2" l="1"/>
  <c r="O44" i="10"/>
  <c r="O19" i="9"/>
  <c r="O22" i="2"/>
  <c r="O21" i="2"/>
  <c r="O11" i="2"/>
  <c r="O20" i="2"/>
  <c r="O19" i="2"/>
  <c r="O24" i="11"/>
  <c r="L24" i="2"/>
  <c r="L27" i="2" s="1"/>
  <c r="J24" i="2"/>
  <c r="J27" i="2" s="1"/>
  <c r="I24" i="2"/>
  <c r="I27" i="2" s="1"/>
  <c r="K8" i="9"/>
  <c r="N8" i="9" s="1"/>
  <c r="O8" i="9" s="1"/>
  <c r="L8" i="9"/>
  <c r="M8" i="9"/>
  <c r="K9" i="8"/>
  <c r="M9" i="8"/>
  <c r="N24" i="2"/>
  <c r="N27" i="2" s="1"/>
  <c r="M24" i="2"/>
  <c r="K24" i="2"/>
  <c r="K27" i="2" s="1"/>
  <c r="H24" i="2"/>
  <c r="H27" i="2" s="1"/>
  <c r="G24" i="2"/>
  <c r="G27" i="2" s="1"/>
  <c r="F24" i="2"/>
  <c r="F27" i="2" s="1"/>
  <c r="E24" i="2"/>
  <c r="E27" i="2" s="1"/>
  <c r="D24" i="2"/>
  <c r="D27" i="2" s="1"/>
  <c r="C24" i="2"/>
  <c r="C27" i="2" s="1"/>
  <c r="O13" i="2" l="1"/>
  <c r="P12" i="2" s="1"/>
  <c r="N9" i="8"/>
  <c r="O9" i="8" s="1"/>
  <c r="L9" i="8"/>
  <c r="P11" i="2"/>
  <c r="O24" i="2"/>
  <c r="P22" i="2" s="1"/>
  <c r="P20" i="2" l="1"/>
  <c r="P13" i="2"/>
  <c r="O27" i="2"/>
  <c r="P23" i="2"/>
  <c r="P24" i="2"/>
  <c r="P27" i="2" s="1"/>
  <c r="P19" i="2"/>
  <c r="P21" i="2"/>
</calcChain>
</file>

<file path=xl/sharedStrings.xml><?xml version="1.0" encoding="utf-8"?>
<sst xmlns="http://schemas.openxmlformats.org/spreadsheetml/2006/main" count="277" uniqueCount="134">
  <si>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</si>
  <si>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</si>
  <si>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</si>
  <si>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</si>
  <si>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</si>
  <si>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</si>
  <si>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</si>
  <si>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</si>
  <si>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</si>
  <si>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</si>
  <si>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</si>
  <si>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</si>
  <si>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</si>
  <si>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</si>
  <si>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</si>
  <si>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</si>
  <si>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</si>
  <si>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</si>
  <si>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</si>
  <si>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</si>
  <si>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</si>
  <si>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</si>
  <si>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</si>
  <si>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</si>
  <si>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</si>
  <si>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</si>
  <si>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</si>
  <si>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</si>
  <si>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</si>
  <si>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</si>
  <si>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</si>
  <si>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</si>
  <si>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</si>
  <si>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</si>
  <si>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</si>
  <si>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</si>
  <si>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</si>
  <si>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</si>
  <si>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</si>
  <si>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</si>
  <si>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</si>
  <si>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</si>
  <si>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</si>
  <si>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</si>
  <si>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</si>
  <si>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</si>
  <si>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</si>
  <si>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</si>
  <si>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</si>
  <si>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</si>
  <si>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</si>
  <si>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</si>
  <si>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</si>
  <si>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</si>
  <si>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</si>
  <si>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 xml:space="preserve">             -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</si>
  <si>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</si>
  <si>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</si>
  <si>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</si>
  <si>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</si>
  <si>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</si>
  <si>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</si>
  <si>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</si>
  <si>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</si>
  <si>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</si>
  <si>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</si>
  <si>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</si>
  <si>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</si>
  <si>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</si>
  <si>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</si>
  <si>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</si>
  <si>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</si>
  <si>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</si>
  <si>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</si>
  <si>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</si>
  <si>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</si>
  <si>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</si>
  <si>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</si>
  <si>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</si>
  <si>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</si>
  <si>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</si>
  <si>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</si>
  <si>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</si>
  <si>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</si>
  <si>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</si>
  <si>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</si>
  <si>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</si>
  <si>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</si>
  <si>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</si>
  <si>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</si>
  <si>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</si>
  <si>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</si>
  <si>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</si>
  <si>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</si>
  <si>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</si>
  <si>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</si>
  <si>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</si>
  <si>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</si>
  <si>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</si>
  <si>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</si>
  <si>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</si>
  <si>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</si>
  <si>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</si>
  <si>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</si>
  <si>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</si>
  <si>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</si>
  <si>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</si>
  <si>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</si>
  <si>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ATENCION A FUNCIONARIOS Y EMPLEADOS</t>
  </si>
  <si>
    <t>SEGURO GTOS. MEDICOS MAYORES</t>
  </si>
  <si>
    <t>ADQ. LENTES</t>
  </si>
  <si>
    <t>CONMBUSTIBLES Y LUBRICANTES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</si>
  <si>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</si>
  <si>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</si>
  <si>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</si>
  <si>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</si>
  <si>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</si>
  <si>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</si>
  <si>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</si>
  <si>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</si>
  <si>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</si>
  <si>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CALCOMANIAS Y HOLOGRAMAS</t>
  </si>
  <si>
    <t>cristina uribe mendoza</t>
  </si>
  <si>
    <t>GASTOS FINANCIEROS</t>
  </si>
  <si>
    <t>GASTOS MENORES</t>
  </si>
  <si>
    <t xml:space="preserve">     DEL 01 AL 30 DE JUNIO DE 2015</t>
  </si>
  <si>
    <t>IMPRENTA</t>
  </si>
  <si>
    <t>MTTO. MOBILIARIO Y EQUIPO</t>
  </si>
  <si>
    <t>EXPOSICIONES (CAPACITACION)</t>
  </si>
  <si>
    <t xml:space="preserve">     DEL 01 AL 31 DE JULIO DE 2015</t>
  </si>
  <si>
    <t>TAXIS, CAMIONES Y ESTACIONAMIENTO</t>
  </si>
  <si>
    <t>INGRESOS FINANCIEROS</t>
  </si>
  <si>
    <t>4-3-1-0-0-0</t>
  </si>
  <si>
    <t>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</si>
</sst>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3" applyNumberFormat="1" applyFont="1" applyFill="1"/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2" fillId="5" borderId="7" xfId="0" applyFont="1" applyFill="1" applyBorder="1" applyAlignment="1">
      <alignment horizontal="center"/>
    </xf>
    <xf numFmtId="166" fontId="12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166" fontId="5" fillId="4" borderId="37" xfId="1" applyFont="1" applyFill="1" applyBorder="1"/>
    <xf numFmtId="0" fontId="13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4" fillId="2" borderId="0" xfId="0" applyFont="1" applyFill="1"/>
    <xf numFmtId="4" fontId="14" fillId="2" borderId="0" xfId="0" applyNumberFormat="1" applyFont="1" applyFill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38100</xdr:colOff>
      <xdr:row>3</xdr:row>
      <xdr:rowOff>0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31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JULIO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JULIO,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2"/>
  <sheetViews>
    <sheetView tabSelected="1" topLeftCell="C1" workbookViewId="0">
      <selection activeCell="O11" sqref="O11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customWidth="1"/>
    <col min="7" max="8" width="13.140625" style="23" customWidth="1"/>
    <col min="9" max="9" width="14.140625" style="23" customWidth="1"/>
    <col min="10" max="10" width="14.28515625" style="23" hidden="1" customWidth="1"/>
    <col min="11" max="11" width="14.140625" style="23" hidden="1" customWidth="1"/>
    <col min="12" max="12" width="13.85546875" style="23" hidden="1" customWidth="1"/>
    <col min="13" max="13" width="13.28515625" style="23" hidden="1" customWidth="1"/>
    <col min="14" max="14" width="12.85546875" style="23" hidden="1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2.5" x14ac:dyDescent="0.45">
      <c r="A1" s="125"/>
      <c r="B1" s="129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4" ht="22.5" x14ac:dyDescent="0.45">
      <c r="B2" s="129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4" ht="22.5" x14ac:dyDescent="0.45"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T3" s="41"/>
    </row>
    <row r="4" spans="1:24" ht="27" x14ac:dyDescent="0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Q4"/>
      <c r="T4" s="41"/>
    </row>
    <row r="5" spans="1:24" x14ac:dyDescent="0.25">
      <c r="O5" s="72"/>
      <c r="T5" s="41"/>
    </row>
    <row r="6" spans="1:24" x14ac:dyDescent="0.25">
      <c r="I6" s="24"/>
      <c r="O6" s="124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78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x14ac:dyDescent="0.25">
      <c r="A11" s="127" t="s">
        <v>79</v>
      </c>
      <c r="B11" s="27" t="s">
        <v>80</v>
      </c>
      <c r="C11" s="90">
        <f>' PARTIC. Y APORTACIO'!C10</f>
        <v>1448604.48</v>
      </c>
      <c r="D11" s="90">
        <f>' PARTIC. Y APORTACIO'!D10</f>
        <v>1522492.04</v>
      </c>
      <c r="E11" s="90">
        <f>' PARTIC. Y APORTACIO'!E10</f>
        <v>1625759.69</v>
      </c>
      <c r="F11" s="90">
        <f>' PARTIC. Y APORTACIO'!F10</f>
        <v>1613030.34</v>
      </c>
      <c r="G11" s="90">
        <f>' PARTIC. Y APORTACIO'!G10</f>
        <v>1748147</v>
      </c>
      <c r="H11" s="90">
        <f>' PARTIC. Y APORTACIO'!H10</f>
        <v>1974309.51</v>
      </c>
      <c r="I11" s="90">
        <f>' PARTIC. Y APORTACIO'!I10</f>
        <v>1549934.79</v>
      </c>
      <c r="J11" s="90">
        <f>' PARTIC. Y APORTACIO'!J10</f>
        <v>0</v>
      </c>
      <c r="K11" s="90">
        <f>' PARTIC. Y APORTACIO'!K10</f>
        <v>0</v>
      </c>
      <c r="L11" s="90">
        <f>' PARTIC. Y APORTACIO'!L10</f>
        <v>0</v>
      </c>
      <c r="M11" s="18">
        <f>' PARTIC. Y APORTACIO'!M10</f>
        <v>0</v>
      </c>
      <c r="N11" s="18">
        <f>' PARTIC. Y APORTACIO'!N10</f>
        <v>0</v>
      </c>
      <c r="O11" s="18">
        <f>SUM(C11:N11)</f>
        <v>11482277.850000001</v>
      </c>
      <c r="P11" s="30">
        <f>O11/$O$13</f>
        <v>0.99999821377224696</v>
      </c>
      <c r="X11" s="23" t="s">
        <v>53</v>
      </c>
    </row>
    <row r="12" spans="1:24" ht="15.75" thickBot="1" x14ac:dyDescent="0.3">
      <c r="A12" s="128" t="s">
        <v>132</v>
      </c>
      <c r="B12" s="88" t="s">
        <v>133</v>
      </c>
      <c r="C12" s="91"/>
      <c r="D12" s="91"/>
      <c r="E12" s="91">
        <f>' PARTIC. Y APORTACIO'!E11</f>
        <v>3.77</v>
      </c>
      <c r="F12" s="91">
        <f>' PARTIC. Y APORTACIO'!F11</f>
        <v>4.1500000000000004</v>
      </c>
      <c r="G12" s="91">
        <f>' PARTIC. Y APORTACIO'!G11</f>
        <v>4.16</v>
      </c>
      <c r="H12" s="91">
        <f>' PARTIC. Y APORTACIO'!H11</f>
        <v>4.3</v>
      </c>
      <c r="I12" s="91">
        <f>' PARTIC. Y APORTACIO'!I11</f>
        <v>4.13</v>
      </c>
      <c r="J12" s="91"/>
      <c r="K12" s="91"/>
      <c r="L12" s="91"/>
      <c r="M12" s="15"/>
      <c r="N12" s="15"/>
      <c r="O12" s="15">
        <f>SUM(C12:N12)</f>
        <v>20.509999999999998</v>
      </c>
      <c r="P12" s="94">
        <f>+O12/O13</f>
        <v>1.7862277530994236E-6</v>
      </c>
    </row>
    <row r="13" spans="1:24" ht="15.75" thickBot="1" x14ac:dyDescent="0.3">
      <c r="A13" s="95"/>
      <c r="B13" s="86" t="s">
        <v>10</v>
      </c>
      <c r="C13" s="67">
        <f t="shared" ref="C13:N13" si="0">SUM(C11:C11)</f>
        <v>1448604.48</v>
      </c>
      <c r="D13" s="67">
        <f t="shared" si="0"/>
        <v>1522492.04</v>
      </c>
      <c r="E13" s="67">
        <f>SUM(E11:E12)</f>
        <v>1625763.46</v>
      </c>
      <c r="F13" s="67">
        <f t="shared" ref="F13:I13" si="1">SUM(F11:F12)</f>
        <v>1613034.49</v>
      </c>
      <c r="G13" s="67">
        <f t="shared" si="1"/>
        <v>1748151.16</v>
      </c>
      <c r="H13" s="67">
        <f t="shared" si="1"/>
        <v>1974313.81</v>
      </c>
      <c r="I13" s="67">
        <f t="shared" si="1"/>
        <v>1549938.92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>SUM(O11:O12)</f>
        <v>11482298.360000001</v>
      </c>
      <c r="P13" s="93">
        <f>O13/$O$13</f>
        <v>1</v>
      </c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"/>
    </row>
    <row r="15" spans="1:24" x14ac:dyDescent="0.25">
      <c r="A15" s="25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24" ht="15.75" thickBot="1" x14ac:dyDescent="0.3">
      <c r="A16" s="1" t="s">
        <v>6</v>
      </c>
    </row>
    <row r="17" spans="1:18" x14ac:dyDescent="0.25">
      <c r="A17" s="2" t="s">
        <v>78</v>
      </c>
      <c r="B17" s="2" t="s">
        <v>6</v>
      </c>
      <c r="C17" s="2" t="str">
        <f>C9</f>
        <v xml:space="preserve">ENERO </v>
      </c>
      <c r="D17" s="2" t="str">
        <f>D9</f>
        <v>FEBRERO</v>
      </c>
      <c r="E17" s="2" t="s">
        <v>30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35</v>
      </c>
      <c r="K17" s="2" t="s">
        <v>39</v>
      </c>
      <c r="L17" s="2" t="s">
        <v>36</v>
      </c>
      <c r="M17" s="2" t="s">
        <v>37</v>
      </c>
      <c r="N17" s="2" t="s">
        <v>38</v>
      </c>
      <c r="O17" s="2" t="s">
        <v>12</v>
      </c>
      <c r="P17" s="2" t="s">
        <v>5</v>
      </c>
    </row>
    <row r="18" spans="1:18" ht="15.75" thickBot="1" x14ac:dyDescent="0.3">
      <c r="A18" s="5"/>
      <c r="B18" s="5"/>
      <c r="C18" s="6">
        <f>C10</f>
        <v>2015</v>
      </c>
      <c r="D18" s="6">
        <f>D10</f>
        <v>2015</v>
      </c>
      <c r="E18" s="6">
        <f>E10</f>
        <v>2015</v>
      </c>
      <c r="F18" s="6">
        <f>F10</f>
        <v>2015</v>
      </c>
      <c r="G18" s="6">
        <f>+G10</f>
        <v>2015</v>
      </c>
      <c r="H18" s="6">
        <f>H10</f>
        <v>2015</v>
      </c>
      <c r="I18" s="7">
        <f>I10</f>
        <v>2015</v>
      </c>
      <c r="J18" s="7">
        <f>+J10</f>
        <v>2015</v>
      </c>
      <c r="K18" s="7">
        <f>+K10</f>
        <v>2015</v>
      </c>
      <c r="L18" s="7">
        <f>L10</f>
        <v>2015</v>
      </c>
      <c r="M18" s="7">
        <f>+M10</f>
        <v>2015</v>
      </c>
      <c r="N18" s="7">
        <f>N10</f>
        <v>2015</v>
      </c>
      <c r="O18" s="6">
        <f>+O10</f>
        <v>2015</v>
      </c>
      <c r="P18" s="6" t="str">
        <f>$O$9</f>
        <v>ACUMULADO</v>
      </c>
      <c r="Q18" s="37"/>
      <c r="R18" s="37"/>
    </row>
    <row r="19" spans="1:18" x14ac:dyDescent="0.25">
      <c r="A19" s="26" t="s">
        <v>90</v>
      </c>
      <c r="B19" s="27" t="s">
        <v>7</v>
      </c>
      <c r="C19" s="90">
        <f>'SERV. PERSONALES'!C24</f>
        <v>1295883.52</v>
      </c>
      <c r="D19" s="18">
        <f>('SERV. PERSONALES'!D24)</f>
        <v>1238199.74</v>
      </c>
      <c r="E19" s="18">
        <f>'SERV. PERSONALES'!E24</f>
        <v>1302235.8199999998</v>
      </c>
      <c r="F19" s="18">
        <f>'SERV. PERSONALES'!F24</f>
        <v>1235491.24</v>
      </c>
      <c r="G19" s="28">
        <f>'SERV. PERSONALES'!G24</f>
        <v>1411257.1400000001</v>
      </c>
      <c r="H19" s="18">
        <f>'SERV. PERSONALES'!H24</f>
        <v>1673481.9</v>
      </c>
      <c r="I19" s="28">
        <f>'SERV. PERSONALES'!I24</f>
        <v>1287691.3400000001</v>
      </c>
      <c r="J19" s="18">
        <f>'SERV. PERSONALES'!J24</f>
        <v>0</v>
      </c>
      <c r="K19" s="18">
        <f>'SERV. PERSONALES'!K24</f>
        <v>0</v>
      </c>
      <c r="L19" s="18">
        <f>'SERV. PERSONALES'!L24</f>
        <v>0</v>
      </c>
      <c r="M19" s="18">
        <f>'SERV. PERSONALES'!M24</f>
        <v>0</v>
      </c>
      <c r="N19" s="18">
        <f>'SERV. PERSONALES'!N24</f>
        <v>0</v>
      </c>
      <c r="O19" s="18">
        <f>SUM(C19:N19)</f>
        <v>9444240.6999999993</v>
      </c>
      <c r="P19" s="30">
        <f t="shared" ref="P19:P24" si="2">O19/$O$24</f>
        <v>0.82250169507104254</v>
      </c>
      <c r="Q19" s="37"/>
    </row>
    <row r="20" spans="1:18" x14ac:dyDescent="0.25">
      <c r="A20" s="31" t="s">
        <v>91</v>
      </c>
      <c r="B20" s="32" t="s">
        <v>9</v>
      </c>
      <c r="C20" s="33">
        <f>'MATER. Y SUMINIS.'!C19</f>
        <v>25324.239999999998</v>
      </c>
      <c r="D20" s="33">
        <f>'MATER. Y SUMINIS.'!D19</f>
        <v>53490.659999999996</v>
      </c>
      <c r="E20" s="33">
        <f>'MATER. Y SUMINIS.'!E19</f>
        <v>54566.22</v>
      </c>
      <c r="F20" s="33">
        <f>'MATER. Y SUMINIS.'!F19</f>
        <v>153599.53</v>
      </c>
      <c r="G20" s="33">
        <f>'MATER. Y SUMINIS.'!G19</f>
        <v>55875.17</v>
      </c>
      <c r="H20" s="33">
        <f>'MATER. Y SUMINIS.'!H19</f>
        <v>76488.66</v>
      </c>
      <c r="I20" s="33">
        <f>'MATER. Y SUMINIS.'!I19</f>
        <v>20688.239999999998</v>
      </c>
      <c r="J20" s="33">
        <f>'MATER. Y SUMINIS.'!J19</f>
        <v>0</v>
      </c>
      <c r="K20" s="33">
        <f>'MATER. Y SUMINIS.'!K19</f>
        <v>0</v>
      </c>
      <c r="L20" s="33">
        <f>'MATER. Y SUMINIS.'!L19</f>
        <v>0</v>
      </c>
      <c r="M20" s="33">
        <f>'MATER. Y SUMINIS.'!M19</f>
        <v>0</v>
      </c>
      <c r="N20" s="33">
        <f>'MATER. Y SUMINIS.'!N19</f>
        <v>0</v>
      </c>
      <c r="O20" s="14">
        <f>SUM(C20:N20)</f>
        <v>440032.72</v>
      </c>
      <c r="P20" s="34">
        <f>O20/$O$24</f>
        <v>3.8322578763449078E-2</v>
      </c>
      <c r="Q20" s="37"/>
    </row>
    <row r="21" spans="1:18" x14ac:dyDescent="0.25">
      <c r="A21" s="31" t="s">
        <v>92</v>
      </c>
      <c r="B21" s="32" t="s">
        <v>8</v>
      </c>
      <c r="C21" s="33">
        <f>'SERV. GENERALES'!C44</f>
        <v>33880.719999999994</v>
      </c>
      <c r="D21" s="33">
        <f>'SERV. GENERALES'!D44</f>
        <v>137285.63999999998</v>
      </c>
      <c r="E21" s="33">
        <f>'SERV. GENERALES'!E44</f>
        <v>175499.65000000002</v>
      </c>
      <c r="F21" s="33">
        <f>'SERV. GENERALES'!F44</f>
        <v>130423.57000000002</v>
      </c>
      <c r="G21" s="33">
        <f>'SERV. GENERALES'!G44</f>
        <v>187498.69</v>
      </c>
      <c r="H21" s="33">
        <f>'SERV. GENERALES'!H44</f>
        <v>130822.95000000001</v>
      </c>
      <c r="I21" s="33">
        <f>'SERV. GENERALES'!I44</f>
        <v>148039.21000000002</v>
      </c>
      <c r="J21" s="33">
        <f>'SERV. GENERALES'!J44</f>
        <v>0</v>
      </c>
      <c r="K21" s="33">
        <f>'SERV. GENERALES'!K44</f>
        <v>0</v>
      </c>
      <c r="L21" s="33">
        <f>'SERV. GENERALES'!L44</f>
        <v>0</v>
      </c>
      <c r="M21" s="33">
        <f>'SERV. GENERALES'!M44</f>
        <v>0</v>
      </c>
      <c r="N21" s="33">
        <f>'SERV. GENERALES'!N44</f>
        <v>0</v>
      </c>
      <c r="O21" s="14">
        <f>SUM(C21:N21)</f>
        <v>943450.42999999993</v>
      </c>
      <c r="P21" s="34">
        <f t="shared" si="2"/>
        <v>8.2165374913676648E-2</v>
      </c>
      <c r="Q21" s="37"/>
      <c r="R21" s="35"/>
    </row>
    <row r="22" spans="1:18" x14ac:dyDescent="0.25">
      <c r="A22" s="31" t="s">
        <v>93</v>
      </c>
      <c r="B22" s="32" t="s">
        <v>88</v>
      </c>
      <c r="C22" s="33">
        <f>'PENSIONES Y JUBIL.'!C10</f>
        <v>93516</v>
      </c>
      <c r="D22" s="33">
        <f>'PENSIONES Y JUBIL.'!D10</f>
        <v>93516</v>
      </c>
      <c r="E22" s="33">
        <f>'PENSIONES Y JUBIL.'!E10</f>
        <v>93516</v>
      </c>
      <c r="F22" s="33">
        <f>'PENSIONES Y JUBIL.'!F10</f>
        <v>93516</v>
      </c>
      <c r="G22" s="33">
        <f>'PENSIONES Y JUBIL.'!G10</f>
        <v>93516</v>
      </c>
      <c r="H22" s="33">
        <f>'PENSIONES Y JUBIL.'!H10</f>
        <v>93516</v>
      </c>
      <c r="I22" s="33">
        <f>'PENSIONES Y JUBIL.'!I10</f>
        <v>93516</v>
      </c>
      <c r="J22" s="33">
        <f>'PENSIONES Y JUBIL.'!J10</f>
        <v>0</v>
      </c>
      <c r="K22" s="33">
        <f>'PENSIONES Y JUBIL.'!K10</f>
        <v>0</v>
      </c>
      <c r="L22" s="33">
        <f>'PENSIONES Y JUBIL.'!L10</f>
        <v>0</v>
      </c>
      <c r="M22" s="33">
        <f>'PENSIONES Y JUBIL.'!M10</f>
        <v>0</v>
      </c>
      <c r="N22" s="33">
        <f>'PENSIONES Y JUBIL.'!N10</f>
        <v>0</v>
      </c>
      <c r="O22" s="14">
        <f>SUM(C22:N22)</f>
        <v>654612</v>
      </c>
      <c r="P22" s="34">
        <f t="shared" si="2"/>
        <v>5.7010351251831744E-2</v>
      </c>
      <c r="Q22" s="37"/>
    </row>
    <row r="23" spans="1:18" ht="15.75" hidden="1" thickBot="1" x14ac:dyDescent="0.3">
      <c r="A23" s="87" t="s">
        <v>85</v>
      </c>
      <c r="B23" s="88" t="s">
        <v>89</v>
      </c>
      <c r="C23" s="91">
        <f>'BIENES MUEBLES'!C19</f>
        <v>0</v>
      </c>
      <c r="D23" s="91">
        <f>'BIENES MUEBLES'!D19</f>
        <v>0</v>
      </c>
      <c r="E23" s="91">
        <f>'BIENES MUEBLES'!E19</f>
        <v>0</v>
      </c>
      <c r="F23" s="91">
        <f>'BIENES MUEBLES'!F19</f>
        <v>0</v>
      </c>
      <c r="G23" s="91">
        <f>'BIENES MUEBLES'!G19</f>
        <v>0</v>
      </c>
      <c r="H23" s="91">
        <f>'BIENES MUEBLES'!H19</f>
        <v>0</v>
      </c>
      <c r="I23" s="91">
        <f>'BIENES MUEBLES'!I19</f>
        <v>0</v>
      </c>
      <c r="J23" s="91">
        <f>'BIENES MUEBLES'!J19</f>
        <v>0</v>
      </c>
      <c r="K23" s="91">
        <f>'BIENES MUEBLES'!O19</f>
        <v>0</v>
      </c>
      <c r="L23" s="91">
        <f>'BIENES MUEBLES'!L19</f>
        <v>0</v>
      </c>
      <c r="M23" s="91">
        <f>'BIENES MUEBLES'!M19</f>
        <v>0</v>
      </c>
      <c r="N23" s="91">
        <f>'BIENES MUEBLES'!N19</f>
        <v>0</v>
      </c>
      <c r="O23" s="15">
        <f>SUM(C23:N23)</f>
        <v>0</v>
      </c>
      <c r="P23" s="94">
        <f t="shared" si="2"/>
        <v>0</v>
      </c>
    </row>
    <row r="24" spans="1:18" ht="15.75" thickBot="1" x14ac:dyDescent="0.3">
      <c r="A24" s="85"/>
      <c r="B24" s="86" t="s">
        <v>11</v>
      </c>
      <c r="C24" s="89">
        <f>SUM(C19:C23)</f>
        <v>1448604.48</v>
      </c>
      <c r="D24" s="67">
        <f t="shared" ref="D24:M24" si="3">SUM(D19:D23)</f>
        <v>1522492.0399999998</v>
      </c>
      <c r="E24" s="92">
        <f t="shared" si="3"/>
        <v>1625817.69</v>
      </c>
      <c r="F24" s="67">
        <f t="shared" si="3"/>
        <v>1613030.34</v>
      </c>
      <c r="G24" s="66">
        <f>SUM(G19:G23)</f>
        <v>1748147</v>
      </c>
      <c r="H24" s="65">
        <f t="shared" si="3"/>
        <v>1974309.5099999998</v>
      </c>
      <c r="I24" s="66">
        <f t="shared" si="3"/>
        <v>1549934.79</v>
      </c>
      <c r="J24" s="65">
        <f t="shared" si="3"/>
        <v>0</v>
      </c>
      <c r="K24" s="65">
        <f t="shared" si="3"/>
        <v>0</v>
      </c>
      <c r="L24" s="67">
        <f t="shared" si="3"/>
        <v>0</v>
      </c>
      <c r="M24" s="65">
        <f t="shared" si="3"/>
        <v>0</v>
      </c>
      <c r="N24" s="65">
        <f>SUM(N19:N23)</f>
        <v>0</v>
      </c>
      <c r="O24" s="67">
        <f>SUM(O19:O23)</f>
        <v>11482335.85</v>
      </c>
      <c r="P24" s="93">
        <f t="shared" si="2"/>
        <v>1</v>
      </c>
      <c r="Q24" s="37"/>
      <c r="R24" s="84"/>
    </row>
    <row r="25" spans="1:18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R25" s="68"/>
    </row>
    <row r="26" spans="1:18" ht="15.75" thickBot="1" x14ac:dyDescent="0.3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 t="s">
        <v>61</v>
      </c>
    </row>
    <row r="27" spans="1:18" ht="15.75" thickBot="1" x14ac:dyDescent="0.3">
      <c r="B27" s="9" t="s">
        <v>13</v>
      </c>
      <c r="C27" s="10">
        <f>C13-C24</f>
        <v>0</v>
      </c>
      <c r="D27" s="10">
        <f t="shared" ref="D27:N27" si="4">D13-D24</f>
        <v>0</v>
      </c>
      <c r="E27" s="10">
        <f>+E13-E24</f>
        <v>-54.229999999981374</v>
      </c>
      <c r="F27" s="10">
        <f>+F13-F24</f>
        <v>4.1499999999068677</v>
      </c>
      <c r="G27" s="10">
        <f t="shared" si="4"/>
        <v>4.159999999916181</v>
      </c>
      <c r="H27" s="10">
        <f t="shared" si="4"/>
        <v>4.3000000002793968</v>
      </c>
      <c r="I27" s="10">
        <f t="shared" si="4"/>
        <v>4.1299999998882413</v>
      </c>
      <c r="J27" s="10">
        <f t="shared" si="4"/>
        <v>0</v>
      </c>
      <c r="K27" s="10">
        <f t="shared" si="4"/>
        <v>0</v>
      </c>
      <c r="L27" s="10">
        <f t="shared" si="4"/>
        <v>0</v>
      </c>
      <c r="M27" s="11" t="s">
        <v>55</v>
      </c>
      <c r="N27" s="10">
        <f t="shared" si="4"/>
        <v>0</v>
      </c>
      <c r="O27" s="11">
        <f>+O13-O24</f>
        <v>-37.489999998360872</v>
      </c>
      <c r="P27" s="10">
        <f>P13-P24</f>
        <v>0</v>
      </c>
    </row>
    <row r="28" spans="1:18" x14ac:dyDescent="0.25">
      <c r="K28" s="37"/>
      <c r="L28" s="35"/>
      <c r="M28" s="35"/>
      <c r="N28" s="35"/>
      <c r="O28" s="37">
        <v>37.49</v>
      </c>
    </row>
    <row r="29" spans="1:18" x14ac:dyDescent="0.25">
      <c r="K29" s="37"/>
      <c r="M29" s="35"/>
      <c r="N29" s="35"/>
      <c r="O29" s="37"/>
    </row>
    <row r="30" spans="1:18" x14ac:dyDescent="0.25">
      <c r="K30" s="37"/>
    </row>
    <row r="31" spans="1:18" x14ac:dyDescent="0.25"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23">
        <f>37.49-33.72</f>
        <v>3.7700000000000031</v>
      </c>
    </row>
    <row r="32" spans="1:18" x14ac:dyDescent="0.25">
      <c r="A32" s="1" t="s">
        <v>0</v>
      </c>
      <c r="B32" s="1" t="s">
        <v>75</v>
      </c>
      <c r="C32" s="1"/>
      <c r="D32" s="1"/>
      <c r="E32" s="1"/>
      <c r="F32" s="1"/>
      <c r="G32" s="1"/>
      <c r="H32" s="1"/>
      <c r="I32" s="1"/>
      <c r="J32" s="1"/>
      <c r="K32" s="43"/>
      <c r="L32" s="1"/>
      <c r="M32" s="1"/>
      <c r="N32" s="1"/>
    </row>
    <row r="33" spans="1:14" x14ac:dyDescent="0.25">
      <c r="A33" s="1"/>
      <c r="B33" s="1" t="s">
        <v>76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3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44"/>
      <c r="B38" s="44"/>
      <c r="C38" s="44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44"/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52" spans="2:2" x14ac:dyDescent="0.25">
      <c r="B52"/>
    </row>
  </sheetData>
  <mergeCells count="4">
    <mergeCell ref="B1:P1"/>
    <mergeCell ref="B2:P2"/>
    <mergeCell ref="B3:P3"/>
    <mergeCell ref="B4:O4"/>
  </mergeCells>
  <phoneticPr fontId="0" type="noConversion"/>
  <pageMargins left="0.78740157480314965" right="0.19685039370078741" top="0.82677165354330717" bottom="0.23622047244094491" header="0" footer="0"/>
  <pageSetup scale="70" orientation="landscape" r:id="rId1"/>
  <headerFooter alignWithMargins="0"/>
  <ignoredErrors>
    <ignoredError sqref="O27 G18 L18:N1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24" workbookViewId="0">
      <selection sqref="A1:G54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37"/>
      <c r="B4" s="138"/>
      <c r="C4" s="138"/>
      <c r="D4" s="138"/>
      <c r="E4" s="138"/>
      <c r="F4" s="138"/>
      <c r="G4" s="139"/>
    </row>
    <row r="5" spans="1:7" ht="18.75" x14ac:dyDescent="0.3">
      <c r="A5" s="137"/>
      <c r="B5" s="138"/>
      <c r="C5" s="138"/>
      <c r="D5" s="138"/>
      <c r="E5" s="138"/>
      <c r="F5" s="138"/>
      <c r="G5" s="139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37"/>
      <c r="B38" s="138"/>
      <c r="C38" s="138"/>
      <c r="D38" s="138"/>
      <c r="E38" s="138"/>
      <c r="F38" s="138"/>
      <c r="G38" s="139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37"/>
      <c r="B49" s="138"/>
      <c r="C49" s="138"/>
      <c r="D49" s="138"/>
      <c r="E49" s="138"/>
      <c r="F49" s="138"/>
      <c r="G49" s="139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topLeftCell="B1" workbookViewId="0">
      <selection activeCell="E11" sqref="E11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customWidth="1"/>
    <col min="8" max="9" width="13.140625" style="23" customWidth="1"/>
    <col min="10" max="10" width="13.42578125" style="23" hidden="1" customWidth="1"/>
    <col min="11" max="13" width="12.85546875" style="23" hidden="1" customWidth="1"/>
    <col min="14" max="14" width="13.140625" style="23" hidden="1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2.5" x14ac:dyDescent="0.45">
      <c r="B1" s="129" t="s">
        <v>63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ht="22.5" x14ac:dyDescent="0.45">
      <c r="B2" s="129" t="s">
        <v>64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ht="22.5" x14ac:dyDescent="0.45"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>
        <f>1625763.46-1625759.69</f>
        <v>3.7700000000186265</v>
      </c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100" t="s">
        <v>78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79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f>1625763.46-3.77</f>
        <v>1625759.69</v>
      </c>
      <c r="F10" s="28">
        <f>1235491.24+153599.53+130423.57+93516</f>
        <v>1613030.34</v>
      </c>
      <c r="G10" s="18">
        <f>1504773.14+243373.86</f>
        <v>1748147</v>
      </c>
      <c r="H10" s="28">
        <f>1974309.51</f>
        <v>1974309.51</v>
      </c>
      <c r="I10" s="18">
        <f>1381207.34+20688.24+148039.21</f>
        <v>1549934.79</v>
      </c>
      <c r="J10" s="28">
        <v>0</v>
      </c>
      <c r="K10" s="18">
        <v>0</v>
      </c>
      <c r="L10" s="18">
        <v>0</v>
      </c>
      <c r="M10" s="28">
        <v>0</v>
      </c>
      <c r="N10" s="18">
        <v>0</v>
      </c>
      <c r="O10" s="18">
        <f>SUM(C10:N10)</f>
        <v>11482277.850000001</v>
      </c>
      <c r="P10" s="23">
        <v>11482277.85</v>
      </c>
      <c r="Q10" s="51">
        <f>+P10-O10</f>
        <v>0</v>
      </c>
    </row>
    <row r="11" spans="1:17" ht="15.75" thickBot="1" x14ac:dyDescent="0.3">
      <c r="A11" s="1" t="s">
        <v>132</v>
      </c>
      <c r="B11" s="39" t="s">
        <v>131</v>
      </c>
      <c r="C11" s="15"/>
      <c r="D11" s="47"/>
      <c r="E11" s="15">
        <v>3.77</v>
      </c>
      <c r="F11" s="47">
        <v>4.1500000000000004</v>
      </c>
      <c r="G11" s="15">
        <v>4.16</v>
      </c>
      <c r="H11" s="47">
        <v>4.3</v>
      </c>
      <c r="I11" s="15">
        <v>4.13</v>
      </c>
      <c r="J11" s="47"/>
      <c r="K11" s="15"/>
      <c r="L11" s="15"/>
      <c r="M11" s="47"/>
      <c r="N11" s="15"/>
      <c r="O11" s="15">
        <f>SUM(C11:N11)</f>
        <v>20.509999999999998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1613034.49</v>
      </c>
      <c r="G12" s="17">
        <f t="shared" si="0"/>
        <v>1748151.16</v>
      </c>
      <c r="H12" s="17">
        <f t="shared" si="0"/>
        <v>1974313.81</v>
      </c>
      <c r="I12" s="17">
        <f t="shared" si="0"/>
        <v>1549938.92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11482298.360000001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75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76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P30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6" width="14.42578125" style="23" customWidth="1"/>
    <col min="7" max="7" width="13.42578125" style="23" customWidth="1"/>
    <col min="8" max="9" width="14" style="23" customWidth="1"/>
    <col min="10" max="10" width="13.7109375" style="23" hidden="1" customWidth="1"/>
    <col min="11" max="14" width="13.140625" style="23" hidden="1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22.5" x14ac:dyDescent="0.45">
      <c r="B1" s="129" t="s">
        <v>65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B2" s="129" t="s">
        <v>66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100" t="s">
        <v>78</v>
      </c>
      <c r="B7" s="131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2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94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>
        <v>864570.5</v>
      </c>
      <c r="G9" s="18">
        <v>985712.35</v>
      </c>
      <c r="H9" s="76">
        <v>894023</v>
      </c>
      <c r="I9" s="18">
        <v>894023</v>
      </c>
      <c r="J9" s="78">
        <v>0</v>
      </c>
      <c r="K9" s="80">
        <v>0</v>
      </c>
      <c r="L9" s="78">
        <v>0</v>
      </c>
      <c r="M9" s="18">
        <v>0</v>
      </c>
      <c r="N9" s="28">
        <v>0</v>
      </c>
      <c r="O9" s="29">
        <f t="shared" ref="O9:O14" si="1">SUM(C9:N9)</f>
        <v>6186693.0800000001</v>
      </c>
      <c r="P9" s="83"/>
      <c r="Q9" s="75"/>
    </row>
    <row r="10" spans="1:17" x14ac:dyDescent="0.25">
      <c r="A10" s="1">
        <v>511211</v>
      </c>
      <c r="B10" s="114" t="s">
        <v>95</v>
      </c>
      <c r="C10" s="29">
        <v>34600</v>
      </c>
      <c r="D10" s="99">
        <v>27900</v>
      </c>
      <c r="E10" s="29">
        <v>88300</v>
      </c>
      <c r="F10" s="99">
        <v>11200</v>
      </c>
      <c r="G10" s="29">
        <v>39100</v>
      </c>
      <c r="H10" s="115">
        <v>39100</v>
      </c>
      <c r="I10" s="29">
        <v>23100</v>
      </c>
      <c r="J10" s="112"/>
      <c r="K10" s="97"/>
      <c r="L10" s="112"/>
      <c r="M10" s="29"/>
      <c r="N10" s="99"/>
      <c r="O10" s="14">
        <f t="shared" si="1"/>
        <v>263300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>
        <v>13206.24</v>
      </c>
      <c r="G11" s="14">
        <f>2155.31+13198.5+14208.35</f>
        <v>29562.16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/>
      <c r="N11" s="19">
        <v>0</v>
      </c>
      <c r="O11" s="14">
        <f t="shared" si="1"/>
        <v>123884.40000000001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9">
        <v>24394</v>
      </c>
      <c r="E12" s="29">
        <v>25882</v>
      </c>
      <c r="F12" s="99">
        <v>25882</v>
      </c>
      <c r="G12" s="29">
        <v>12941</v>
      </c>
      <c r="H12" s="115">
        <v>27169.5</v>
      </c>
      <c r="I12" s="29">
        <v>27427</v>
      </c>
      <c r="J12" s="112"/>
      <c r="K12" s="97"/>
      <c r="L12" s="112"/>
      <c r="M12" s="29"/>
      <c r="N12" s="99"/>
      <c r="O12" s="14">
        <f t="shared" si="1"/>
        <v>166743.6</v>
      </c>
      <c r="P12" s="83"/>
      <c r="Q12" s="75"/>
    </row>
    <row r="13" spans="1:17" x14ac:dyDescent="0.25">
      <c r="A13" s="1">
        <v>511321</v>
      </c>
      <c r="B13" s="74" t="s">
        <v>118</v>
      </c>
      <c r="C13" s="29">
        <v>0</v>
      </c>
      <c r="D13" s="99">
        <v>0</v>
      </c>
      <c r="E13" s="29">
        <f>2269.52+2376.64</f>
        <v>4646.16</v>
      </c>
      <c r="F13" s="99"/>
      <c r="G13" s="29"/>
      <c r="H13" s="115">
        <v>348097.88</v>
      </c>
      <c r="I13" s="29">
        <v>0</v>
      </c>
      <c r="J13" s="112"/>
      <c r="K13" s="97"/>
      <c r="L13" s="112"/>
      <c r="M13" s="29"/>
      <c r="N13" s="99"/>
      <c r="O13" s="14">
        <f t="shared" si="1"/>
        <v>352744.04</v>
      </c>
      <c r="P13" s="83"/>
      <c r="Q13" s="75"/>
    </row>
    <row r="14" spans="1:17" x14ac:dyDescent="0.25">
      <c r="A14" s="1">
        <v>511323</v>
      </c>
      <c r="B14" s="74" t="s">
        <v>119</v>
      </c>
      <c r="C14" s="29">
        <v>0</v>
      </c>
      <c r="D14" s="99">
        <v>0</v>
      </c>
      <c r="E14" s="29">
        <f>347.81+3396.32</f>
        <v>3744.13</v>
      </c>
      <c r="F14" s="99"/>
      <c r="G14" s="29"/>
      <c r="H14" s="115"/>
      <c r="I14" s="29">
        <v>13001.38</v>
      </c>
      <c r="J14" s="112"/>
      <c r="K14" s="97"/>
      <c r="L14" s="112"/>
      <c r="M14" s="29"/>
      <c r="N14" s="99"/>
      <c r="O14" s="14">
        <f t="shared" si="1"/>
        <v>16745.509999999998</v>
      </c>
      <c r="P14" s="83"/>
      <c r="Q14" s="75"/>
    </row>
    <row r="15" spans="1:17" x14ac:dyDescent="0.25">
      <c r="A15" s="1">
        <v>511420</v>
      </c>
      <c r="B15" s="46" t="s">
        <v>46</v>
      </c>
      <c r="C15" s="29">
        <f>32384.71+44332.63+10280.89+17991.53+23035.85+2721.37+3349.26+863.94+1511.86+1935.76</f>
        <v>138407.79999999999</v>
      </c>
      <c r="D15" s="99">
        <f>33336.07+45445.09+10582.92+18520.07+23712.55</f>
        <v>131596.69999999998</v>
      </c>
      <c r="E15" s="29">
        <f>34193.23+46510.66+10855.02+18996.21+26880.12</f>
        <v>137435.24000000002</v>
      </c>
      <c r="F15" s="99">
        <f>32912.97+44702.69+10448.6+18284.99+25873.66</f>
        <v>132222.91</v>
      </c>
      <c r="G15" s="29">
        <f>35218.59+47471.87+11180.56+19565.87+27686.09</f>
        <v>141122.97999999998</v>
      </c>
      <c r="H15" s="115">
        <f>34122.78+45976.94+10832.68+18957.15+26824.63</f>
        <v>136714.18</v>
      </c>
      <c r="I15" s="29">
        <f>35270.62+47518.92+11197.08+19594.78+27726.99</f>
        <v>141308.39000000001</v>
      </c>
      <c r="J15" s="112"/>
      <c r="K15" s="97"/>
      <c r="L15" s="112"/>
      <c r="M15" s="29"/>
      <c r="N15" s="99"/>
      <c r="O15" s="14">
        <f t="shared" ref="O15:O20" si="2">SUM(C15:N15)</f>
        <v>958808.20000000007</v>
      </c>
      <c r="P15" s="83"/>
      <c r="Q15" s="75"/>
    </row>
    <row r="16" spans="1:17" x14ac:dyDescent="0.25">
      <c r="A16" s="1">
        <v>511451</v>
      </c>
      <c r="B16" s="46" t="s">
        <v>43</v>
      </c>
      <c r="C16" s="29">
        <f>20561.79+1727.85</f>
        <v>22289.64</v>
      </c>
      <c r="D16" s="99">
        <v>21165.71</v>
      </c>
      <c r="E16" s="29">
        <v>21710</v>
      </c>
      <c r="F16" s="99">
        <v>20897.080000000002</v>
      </c>
      <c r="G16" s="29">
        <v>22361.03</v>
      </c>
      <c r="H16" s="115">
        <v>21665.27</v>
      </c>
      <c r="I16" s="29">
        <v>22394.04</v>
      </c>
      <c r="J16" s="112"/>
      <c r="K16" s="97"/>
      <c r="L16" s="112"/>
      <c r="M16" s="29"/>
      <c r="N16" s="99"/>
      <c r="O16" s="14">
        <f t="shared" si="2"/>
        <v>152482.76999999999</v>
      </c>
      <c r="P16" s="83"/>
      <c r="Q16" s="75"/>
    </row>
    <row r="17" spans="1:17" x14ac:dyDescent="0.25">
      <c r="A17" s="1">
        <v>511541</v>
      </c>
      <c r="B17" s="46" t="s">
        <v>110</v>
      </c>
      <c r="C17" s="29">
        <v>0</v>
      </c>
      <c r="D17" s="99">
        <v>10694.13</v>
      </c>
      <c r="E17" s="29"/>
      <c r="F17" s="99"/>
      <c r="G17" s="29">
        <v>10522.61</v>
      </c>
      <c r="H17" s="115">
        <v>1647.58</v>
      </c>
      <c r="I17" s="29">
        <v>4146.8599999999997</v>
      </c>
      <c r="J17" s="112"/>
      <c r="K17" s="97"/>
      <c r="L17" s="112"/>
      <c r="M17" s="29"/>
      <c r="N17" s="99"/>
      <c r="O17" s="14">
        <f t="shared" si="2"/>
        <v>27011.18</v>
      </c>
      <c r="P17" s="83"/>
      <c r="Q17" s="75"/>
    </row>
    <row r="18" spans="1:17" x14ac:dyDescent="0.25">
      <c r="A18" s="1">
        <v>511546</v>
      </c>
      <c r="B18" s="74" t="s">
        <v>45</v>
      </c>
      <c r="C18" s="29">
        <f>30267.33+746.66+1714.33</f>
        <v>32728.32</v>
      </c>
      <c r="D18" s="99">
        <v>32485</v>
      </c>
      <c r="E18" s="29">
        <f>32051.87-69.5-23.17</f>
        <v>31959.200000000001</v>
      </c>
      <c r="F18" s="99">
        <v>31755</v>
      </c>
      <c r="G18" s="29">
        <v>32120</v>
      </c>
      <c r="H18" s="115">
        <v>32120</v>
      </c>
      <c r="I18" s="29">
        <v>32120</v>
      </c>
      <c r="J18" s="112"/>
      <c r="K18" s="97"/>
      <c r="L18" s="112"/>
      <c r="M18" s="29"/>
      <c r="N18" s="99"/>
      <c r="O18" s="14">
        <f t="shared" si="2"/>
        <v>225287.52000000002</v>
      </c>
      <c r="P18" s="83"/>
      <c r="Q18" s="75"/>
    </row>
    <row r="19" spans="1:17" x14ac:dyDescent="0.25">
      <c r="A19" s="1">
        <v>511548</v>
      </c>
      <c r="B19" s="46" t="s">
        <v>59</v>
      </c>
      <c r="C19" s="29">
        <f>103088.76+8535.51</f>
        <v>111624.26999999999</v>
      </c>
      <c r="D19" s="99">
        <v>105996.26</v>
      </c>
      <c r="E19" s="29">
        <v>106761.91</v>
      </c>
      <c r="F19" s="99">
        <v>118780.61</v>
      </c>
      <c r="G19" s="29">
        <v>122073.73</v>
      </c>
      <c r="H19" s="115">
        <v>156257.54999999999</v>
      </c>
      <c r="I19" s="29">
        <v>112996.65</v>
      </c>
      <c r="J19" s="112"/>
      <c r="K19" s="97"/>
      <c r="L19" s="112"/>
      <c r="M19" s="29"/>
      <c r="N19" s="99"/>
      <c r="O19" s="14">
        <f t="shared" si="2"/>
        <v>834490.97999999986</v>
      </c>
      <c r="P19" s="83"/>
      <c r="Q19" s="75"/>
    </row>
    <row r="20" spans="1:17" ht="15.75" thickBot="1" x14ac:dyDescent="0.3">
      <c r="A20" s="1">
        <v>511611</v>
      </c>
      <c r="B20" s="74" t="s">
        <v>47</v>
      </c>
      <c r="C20" s="29">
        <f>36811.88+1008.86</f>
        <v>37820.74</v>
      </c>
      <c r="D20" s="99">
        <v>15215.8</v>
      </c>
      <c r="E20" s="29">
        <v>16433.740000000002</v>
      </c>
      <c r="F20" s="99">
        <v>16976.900000000001</v>
      </c>
      <c r="G20" s="29">
        <v>15741.28</v>
      </c>
      <c r="H20" s="115">
        <v>16686.939999999999</v>
      </c>
      <c r="I20" s="29">
        <v>17174.02</v>
      </c>
      <c r="J20" s="112"/>
      <c r="K20" s="97"/>
      <c r="L20" s="112"/>
      <c r="M20" s="29"/>
      <c r="N20" s="99"/>
      <c r="O20" s="14">
        <f t="shared" si="2"/>
        <v>136049.41999999998</v>
      </c>
      <c r="P20" s="83"/>
      <c r="Q20" s="75"/>
    </row>
    <row r="21" spans="1:17" hidden="1" x14ac:dyDescent="0.25">
      <c r="B21" s="96" t="s">
        <v>72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29">
        <f>SUM(C21:K21)</f>
        <v>0</v>
      </c>
    </row>
    <row r="22" spans="1:17" hidden="1" x14ac:dyDescent="0.25">
      <c r="B22" s="32" t="s">
        <v>73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14">
        <f>SUM(C22:K22)</f>
        <v>0</v>
      </c>
    </row>
    <row r="23" spans="1:17" ht="15.75" hidden="1" thickBot="1" x14ac:dyDescent="0.3">
      <c r="B23" s="32" t="s">
        <v>74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4">
        <f>SUM(C23:K23)</f>
        <v>0</v>
      </c>
    </row>
    <row r="24" spans="1:17" ht="15.75" thickBot="1" x14ac:dyDescent="0.3">
      <c r="B24" s="16" t="s">
        <v>17</v>
      </c>
      <c r="C24" s="17">
        <f t="shared" ref="C24:I24" si="3">SUM(C9:C23)</f>
        <v>1295883.52</v>
      </c>
      <c r="D24" s="17">
        <f t="shared" si="3"/>
        <v>1238199.74</v>
      </c>
      <c r="E24" s="17">
        <f t="shared" si="3"/>
        <v>1302235.8199999998</v>
      </c>
      <c r="F24" s="17">
        <f t="shared" si="3"/>
        <v>1235491.24</v>
      </c>
      <c r="G24" s="17">
        <f t="shared" si="3"/>
        <v>1411257.1400000001</v>
      </c>
      <c r="H24" s="17">
        <f t="shared" si="3"/>
        <v>1673481.9</v>
      </c>
      <c r="I24" s="17">
        <f t="shared" si="3"/>
        <v>1287691.3400000001</v>
      </c>
      <c r="J24" s="17">
        <f>SUM(J9:J20)</f>
        <v>0</v>
      </c>
      <c r="K24" s="17">
        <f>SUM(K9:K23)</f>
        <v>0</v>
      </c>
      <c r="L24" s="17">
        <f>SUM(L9:L23)</f>
        <v>0</v>
      </c>
      <c r="M24" s="17">
        <f>SUM(M9:M20)</f>
        <v>0</v>
      </c>
      <c r="N24" s="17">
        <f>SUM(N9:N20)</f>
        <v>0</v>
      </c>
      <c r="O24" s="17">
        <f>SUM(O9:O23)</f>
        <v>9444240.6999999993</v>
      </c>
    </row>
    <row r="25" spans="1:17" x14ac:dyDescent="0.25">
      <c r="D25" s="37"/>
      <c r="G25" s="37"/>
      <c r="H25" s="37"/>
      <c r="I25" s="72"/>
      <c r="M25" s="37"/>
      <c r="O25" s="37"/>
    </row>
    <row r="26" spans="1:17" x14ac:dyDescent="0.25">
      <c r="C26" s="35"/>
      <c r="F26" s="37"/>
      <c r="G26" s="37"/>
      <c r="N26" s="24"/>
    </row>
    <row r="27" spans="1:17" x14ac:dyDescent="0.25">
      <c r="H27" s="37"/>
      <c r="J27" s="37"/>
      <c r="N27" s="24"/>
      <c r="O27" s="35"/>
    </row>
    <row r="28" spans="1:17" x14ac:dyDescent="0.25">
      <c r="B28" s="40"/>
      <c r="C28" s="40"/>
      <c r="D28" s="35"/>
      <c r="F28" s="37"/>
      <c r="N28" s="24"/>
    </row>
    <row r="29" spans="1:17" x14ac:dyDescent="0.25">
      <c r="A29" s="1" t="s">
        <v>0</v>
      </c>
      <c r="B29" s="1" t="s">
        <v>75</v>
      </c>
      <c r="C29" s="1"/>
      <c r="D29" s="35"/>
      <c r="N29" s="50"/>
    </row>
    <row r="30" spans="1:17" x14ac:dyDescent="0.25">
      <c r="A30" s="1"/>
      <c r="B30" s="1" t="s">
        <v>76</v>
      </c>
      <c r="C30" s="1"/>
      <c r="N30" s="50"/>
      <c r="P30"/>
    </row>
    <row r="31" spans="1:17" x14ac:dyDescent="0.25">
      <c r="A31" s="1"/>
      <c r="B31" s="1"/>
      <c r="C31" s="1"/>
      <c r="D31" s="72"/>
    </row>
    <row r="32" spans="1:17" x14ac:dyDescent="0.25">
      <c r="D32" s="72"/>
    </row>
    <row r="33" spans="2:4" x14ac:dyDescent="0.25">
      <c r="D33" s="72"/>
    </row>
    <row r="34" spans="2:4" x14ac:dyDescent="0.25">
      <c r="B34" s="1"/>
    </row>
    <row r="35" spans="2:4" x14ac:dyDescent="0.25">
      <c r="B35" s="1"/>
    </row>
  </sheetData>
  <mergeCells count="4">
    <mergeCell ref="B2:O2"/>
    <mergeCell ref="B7:B8"/>
    <mergeCell ref="B1:O1"/>
    <mergeCell ref="B3:P3"/>
  </mergeCells>
  <phoneticPr fontId="0" type="noConversion"/>
  <pageMargins left="0.98425196850393704" right="0.19685039370078741" top="0.74803149606299213" bottom="0.98425196850393704" header="0" footer="0"/>
  <pageSetup scale="64" orientation="landscape" r:id="rId1"/>
  <headerFooter alignWithMargins="0"/>
  <ignoredErrors>
    <ignoredError sqref="O21:O24 N24 C24" formulaRange="1"/>
    <ignoredError sqref="J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6"/>
  <sheetViews>
    <sheetView workbookViewId="0">
      <pane xSplit="2" ySplit="8" topLeftCell="C12" activePane="bottomRight" state="frozen"/>
      <selection pane="topRight" activeCell="C1" sqref="C1"/>
      <selection pane="bottomLeft" activeCell="A9" sqref="A9"/>
      <selection pane="bottomRight" sqref="A1:P25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customWidth="1"/>
    <col min="7" max="7" width="12.42578125" style="23" customWidth="1"/>
    <col min="8" max="8" width="11.5703125" style="23" customWidth="1"/>
    <col min="9" max="9" width="11.42578125" style="23" customWidth="1"/>
    <col min="10" max="10" width="12.85546875" style="23" hidden="1" customWidth="1"/>
    <col min="11" max="12" width="13" style="23" hidden="1" customWidth="1"/>
    <col min="13" max="14" width="14.28515625" style="23" hidden="1" customWidth="1"/>
    <col min="15" max="15" width="16.42578125" style="23" customWidth="1"/>
    <col min="16" max="16" width="11.42578125" style="24"/>
    <col min="17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6" ht="22.5" x14ac:dyDescent="0.45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6" ht="22.5" x14ac:dyDescent="0.45"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6" x14ac:dyDescent="0.25">
      <c r="A7" s="100" t="s">
        <v>78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6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6" hidden="1" x14ac:dyDescent="0.25">
      <c r="A9" s="1" t="s">
        <v>81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6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6" hidden="1" x14ac:dyDescent="0.25">
      <c r="A11" s="1" t="s">
        <v>82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6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>
        <v>65092.71</v>
      </c>
      <c r="G12" s="14">
        <v>27971.67</v>
      </c>
      <c r="H12" s="14">
        <v>35143.51</v>
      </c>
      <c r="I12" s="14">
        <v>7647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ref="O12:O18" si="1">SUM(C12:N12)</f>
        <v>191456.66000000003</v>
      </c>
    </row>
    <row r="13" spans="1:16" x14ac:dyDescent="0.25">
      <c r="A13" s="1">
        <v>512141</v>
      </c>
      <c r="B13" s="46" t="s">
        <v>96</v>
      </c>
      <c r="C13" s="14">
        <v>20745.02</v>
      </c>
      <c r="D13" s="14">
        <v>8962.11</v>
      </c>
      <c r="E13" s="81">
        <v>1287</v>
      </c>
      <c r="F13" s="14">
        <v>55466.68</v>
      </c>
      <c r="G13" s="14">
        <v>0</v>
      </c>
      <c r="H13" s="14">
        <v>24720.6</v>
      </c>
      <c r="I13" s="14">
        <v>599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111780.41</v>
      </c>
    </row>
    <row r="14" spans="1:16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>
        <v>934</v>
      </c>
      <c r="G14" s="14">
        <v>1097.8</v>
      </c>
      <c r="H14" s="14">
        <v>302</v>
      </c>
      <c r="I14" s="14">
        <v>1405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6862.46</v>
      </c>
    </row>
    <row r="15" spans="1:16" x14ac:dyDescent="0.25">
      <c r="A15" s="1">
        <v>512153</v>
      </c>
      <c r="B15" s="46" t="s">
        <v>126</v>
      </c>
      <c r="C15" s="14">
        <v>0</v>
      </c>
      <c r="D15" s="14">
        <v>0</v>
      </c>
      <c r="E15" s="81">
        <v>0</v>
      </c>
      <c r="F15" s="14">
        <v>0</v>
      </c>
      <c r="G15" s="14">
        <v>0</v>
      </c>
      <c r="H15" s="14">
        <v>509.94</v>
      </c>
      <c r="I15" s="14">
        <v>0</v>
      </c>
      <c r="J15" s="14"/>
      <c r="K15" s="14"/>
      <c r="L15" s="14"/>
      <c r="M15" s="14"/>
      <c r="N15" s="14"/>
      <c r="O15" s="14">
        <f t="shared" si="1"/>
        <v>509.94</v>
      </c>
    </row>
    <row r="16" spans="1:16" x14ac:dyDescent="0.25">
      <c r="A16" s="1">
        <v>512161</v>
      </c>
      <c r="B16" s="46" t="s">
        <v>97</v>
      </c>
      <c r="C16" s="14">
        <v>278.05</v>
      </c>
      <c r="D16" s="14">
        <v>6197.02</v>
      </c>
      <c r="E16" s="81">
        <v>8492.4</v>
      </c>
      <c r="F16" s="14">
        <v>2394.79</v>
      </c>
      <c r="G16" s="14">
        <v>11964.2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29326.460000000003</v>
      </c>
    </row>
    <row r="17" spans="1:15" x14ac:dyDescent="0.25">
      <c r="A17" s="1">
        <v>512533</v>
      </c>
      <c r="B17" s="46" t="s">
        <v>120</v>
      </c>
      <c r="C17" s="14">
        <v>0</v>
      </c>
      <c r="D17" s="14">
        <v>0</v>
      </c>
      <c r="E17" s="81">
        <v>213.42</v>
      </c>
      <c r="F17" s="14">
        <v>196.12</v>
      </c>
      <c r="G17" s="14">
        <v>0</v>
      </c>
      <c r="H17" s="14">
        <v>0</v>
      </c>
      <c r="I17" s="14">
        <v>0</v>
      </c>
      <c r="J17" s="14"/>
      <c r="K17" s="14"/>
      <c r="L17" s="14"/>
      <c r="M17" s="14"/>
      <c r="N17" s="14"/>
      <c r="O17" s="14">
        <f t="shared" si="1"/>
        <v>409.53999999999996</v>
      </c>
    </row>
    <row r="18" spans="1:15" x14ac:dyDescent="0.25">
      <c r="A18" s="1">
        <v>512610</v>
      </c>
      <c r="B18" s="121" t="s">
        <v>111</v>
      </c>
      <c r="C18" s="122">
        <v>0</v>
      </c>
      <c r="D18" s="122">
        <v>4007.63</v>
      </c>
      <c r="E18" s="122">
        <v>24473.040000000001</v>
      </c>
      <c r="F18" s="122">
        <v>29515.23</v>
      </c>
      <c r="G18" s="122">
        <v>14841.5</v>
      </c>
      <c r="H18" s="122">
        <v>15812.61</v>
      </c>
      <c r="I18" s="122">
        <v>11037.24</v>
      </c>
      <c r="J18" s="122"/>
      <c r="K18" s="122"/>
      <c r="L18" s="122"/>
      <c r="M18" s="122"/>
      <c r="N18" s="122"/>
      <c r="O18" s="122">
        <f t="shared" si="1"/>
        <v>99687.25</v>
      </c>
    </row>
    <row r="19" spans="1:15" ht="15.75" thickBot="1" x14ac:dyDescent="0.3">
      <c r="A19" s="1"/>
      <c r="B19" s="7" t="s">
        <v>17</v>
      </c>
      <c r="C19" s="20">
        <f>SUM(C9:C16)</f>
        <v>25324.239999999998</v>
      </c>
      <c r="D19" s="20">
        <f>SUM(D9:D18)</f>
        <v>53490.659999999996</v>
      </c>
      <c r="E19" s="20">
        <f>SUM(E9:E18)</f>
        <v>54566.22</v>
      </c>
      <c r="F19" s="20">
        <f>SUM(F12:F18)</f>
        <v>153599.53</v>
      </c>
      <c r="G19" s="20">
        <f>SUM(G9:G18)</f>
        <v>55875.17</v>
      </c>
      <c r="H19" s="20">
        <f>SUM(H9:H18)</f>
        <v>76488.66</v>
      </c>
      <c r="I19" s="20">
        <f>SUM(I9:I18)</f>
        <v>20688.239999999998</v>
      </c>
      <c r="J19" s="20">
        <f t="shared" ref="J19:N19" si="2">SUM(J9:J16)</f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>SUM(O9:O18)</f>
        <v>440032.72000000009</v>
      </c>
    </row>
    <row r="20" spans="1:15" x14ac:dyDescent="0.25">
      <c r="C20" s="37"/>
      <c r="I20" s="37"/>
      <c r="K20" s="37"/>
      <c r="L20" s="37"/>
      <c r="M20" s="37"/>
      <c r="N20" s="37"/>
    </row>
    <row r="21" spans="1:15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5" x14ac:dyDescent="0.25">
      <c r="D22" s="24"/>
    </row>
    <row r="23" spans="1:15" x14ac:dyDescent="0.25">
      <c r="B23" s="40"/>
      <c r="C23" s="40"/>
    </row>
    <row r="24" spans="1:15" x14ac:dyDescent="0.25">
      <c r="A24" s="1" t="s">
        <v>0</v>
      </c>
      <c r="B24" s="1" t="s">
        <v>75</v>
      </c>
      <c r="C24" s="1"/>
    </row>
    <row r="25" spans="1:15" x14ac:dyDescent="0.25">
      <c r="A25" s="1"/>
      <c r="B25" s="1" t="s">
        <v>76</v>
      </c>
      <c r="C25" s="1"/>
    </row>
    <row r="26" spans="1:15" x14ac:dyDescent="0.25">
      <c r="A26" s="1"/>
      <c r="B26" s="1"/>
      <c r="C26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83" orientation="landscape" r:id="rId1"/>
  <headerFooter alignWithMargins="0"/>
  <ignoredErrors>
    <ignoredError sqref="C19 J19:K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51"/>
  <sheetViews>
    <sheetView zoomScaleNormal="100" workbookViewId="0">
      <pane xSplit="2" ySplit="8" topLeftCell="F28" activePane="bottomRight" state="frozen"/>
      <selection pane="topRight" activeCell="C1" sqref="C1"/>
      <selection pane="bottomLeft" activeCell="A9" sqref="A9"/>
      <selection pane="bottomRight" sqref="A1:P50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6" width="12.28515625" style="23" customWidth="1"/>
    <col min="7" max="8" width="11.7109375" style="23" customWidth="1"/>
    <col min="9" max="9" width="13.42578125" style="23" customWidth="1"/>
    <col min="10" max="10" width="11.5703125" style="23" hidden="1" customWidth="1"/>
    <col min="11" max="11" width="12.85546875" style="23" hidden="1" customWidth="1"/>
    <col min="12" max="12" width="12.7109375" style="23" hidden="1" customWidth="1"/>
    <col min="13" max="13" width="12.5703125" style="23" hidden="1" customWidth="1"/>
    <col min="14" max="14" width="11.5703125" style="23" hidden="1" customWidth="1"/>
    <col min="15" max="15" width="14.7109375" style="23" bestFit="1" customWidth="1"/>
    <col min="16" max="16" width="14.42578125" style="24" bestFit="1" customWidth="1"/>
    <col min="17" max="17" width="11.42578125" style="23"/>
    <col min="18" max="18" width="12.42578125" style="23" customWidth="1"/>
    <col min="19" max="16384" width="11.42578125" style="23"/>
  </cols>
  <sheetData>
    <row r="1" spans="1:17" ht="22.5" x14ac:dyDescent="0.45">
      <c r="A1" s="21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A2" s="21"/>
      <c r="B2" s="129" t="s">
        <v>68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A3" s="21"/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112</v>
      </c>
      <c r="C9" s="14">
        <v>0</v>
      </c>
      <c r="D9" s="14">
        <v>4419</v>
      </c>
      <c r="E9" s="81">
        <v>15048</v>
      </c>
      <c r="F9" s="14">
        <v>9956</v>
      </c>
      <c r="G9" s="14">
        <v>0</v>
      </c>
      <c r="H9" s="14">
        <v>14131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f t="shared" ref="O9" si="1">SUM(C9:N9)</f>
        <v>43554</v>
      </c>
    </row>
    <row r="10" spans="1:17" ht="13.5" customHeight="1" x14ac:dyDescent="0.25">
      <c r="A10" s="1">
        <v>513131</v>
      </c>
      <c r="B10" s="46" t="s">
        <v>98</v>
      </c>
      <c r="C10" s="14">
        <v>881.6</v>
      </c>
      <c r="D10" s="14">
        <v>0</v>
      </c>
      <c r="E10" s="81">
        <v>0</v>
      </c>
      <c r="F10" s="14">
        <v>1949.67</v>
      </c>
      <c r="G10" s="14">
        <v>868.26</v>
      </c>
      <c r="H10" s="14">
        <v>868.26</v>
      </c>
      <c r="I10" s="14">
        <v>1433.15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ref="O10:O43" si="2">SUM(C10:N10)</f>
        <v>6000.9400000000005</v>
      </c>
    </row>
    <row r="11" spans="1:17" ht="13.5" customHeight="1" x14ac:dyDescent="0.25">
      <c r="A11" s="1">
        <v>513141</v>
      </c>
      <c r="B11" s="46" t="s">
        <v>113</v>
      </c>
      <c r="C11" s="14">
        <v>0</v>
      </c>
      <c r="D11" s="14">
        <v>2791.91</v>
      </c>
      <c r="E11" s="81">
        <f>2037.12+811.58+295.68+299.39+998.02+798.02+698.02</f>
        <v>5937.83</v>
      </c>
      <c r="F11" s="14">
        <v>3090.1</v>
      </c>
      <c r="G11" s="14">
        <f>624.41+499.01+399.01+549.01</f>
        <v>2071.44</v>
      </c>
      <c r="H11" s="14">
        <v>3943.39</v>
      </c>
      <c r="I11" s="14">
        <v>9375.8799999999992</v>
      </c>
      <c r="J11" s="14"/>
      <c r="K11" s="14"/>
      <c r="L11" s="14"/>
      <c r="M11" s="14"/>
      <c r="N11" s="14"/>
      <c r="O11" s="14">
        <f t="shared" si="2"/>
        <v>27210.550000000003</v>
      </c>
    </row>
    <row r="12" spans="1:17" x14ac:dyDescent="0.25">
      <c r="A12" s="1">
        <v>513181</v>
      </c>
      <c r="B12" s="46" t="s">
        <v>58</v>
      </c>
      <c r="C12" s="14">
        <v>492.01</v>
      </c>
      <c r="D12" s="14">
        <v>0</v>
      </c>
      <c r="E12" s="81">
        <v>324.47000000000003</v>
      </c>
      <c r="F12" s="14">
        <v>1630</v>
      </c>
      <c r="G12" s="14">
        <v>429</v>
      </c>
      <c r="H12" s="14">
        <v>0</v>
      </c>
      <c r="I12" s="14">
        <v>-145.51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2729.9700000000003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99</v>
      </c>
      <c r="C17" s="14">
        <v>23200</v>
      </c>
      <c r="D17" s="14">
        <v>23200</v>
      </c>
      <c r="E17" s="81">
        <v>26680</v>
      </c>
      <c r="F17" s="14">
        <v>24360</v>
      </c>
      <c r="G17" s="14">
        <v>24360</v>
      </c>
      <c r="H17" s="14">
        <v>24360</v>
      </c>
      <c r="I17" s="14">
        <v>24360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2"/>
        <v>170520</v>
      </c>
    </row>
    <row r="18" spans="1:24" x14ac:dyDescent="0.25">
      <c r="A18" s="1">
        <v>513222</v>
      </c>
      <c r="B18" s="46" t="s">
        <v>100</v>
      </c>
      <c r="C18" s="14">
        <v>26912</v>
      </c>
      <c r="D18" s="14">
        <v>34916</v>
      </c>
      <c r="E18" s="81">
        <v>26912</v>
      </c>
      <c r="F18" s="14">
        <v>27988.48</v>
      </c>
      <c r="G18" s="14">
        <v>27988.48</v>
      </c>
      <c r="H18" s="14">
        <v>33092.92</v>
      </c>
      <c r="I18" s="14">
        <v>27988.48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2"/>
        <v>205798.36000000002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101</v>
      </c>
      <c r="C20" s="14">
        <v>4060</v>
      </c>
      <c r="D20" s="14">
        <v>4060</v>
      </c>
      <c r="E20" s="81">
        <v>8120</v>
      </c>
      <c r="F20" s="14">
        <v>0</v>
      </c>
      <c r="G20" s="14">
        <v>4060</v>
      </c>
      <c r="H20" s="14">
        <v>4060</v>
      </c>
      <c r="I20" s="14">
        <v>4060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2"/>
        <v>28420</v>
      </c>
    </row>
    <row r="21" spans="1:24" x14ac:dyDescent="0.25">
      <c r="A21" s="1">
        <v>513224</v>
      </c>
      <c r="B21" s="46" t="s">
        <v>114</v>
      </c>
      <c r="C21" s="14">
        <v>0</v>
      </c>
      <c r="D21" s="14">
        <v>8004</v>
      </c>
      <c r="E21" s="81">
        <v>8004</v>
      </c>
      <c r="F21" s="14">
        <v>8004</v>
      </c>
      <c r="G21" s="14">
        <v>8004</v>
      </c>
      <c r="H21" s="14">
        <v>8004</v>
      </c>
      <c r="I21" s="14">
        <v>16008</v>
      </c>
      <c r="J21" s="14"/>
      <c r="K21" s="14"/>
      <c r="L21" s="14"/>
      <c r="M21" s="14"/>
      <c r="N21" s="14"/>
      <c r="O21" s="14">
        <f t="shared" si="2"/>
        <v>56028</v>
      </c>
    </row>
    <row r="22" spans="1:24" x14ac:dyDescent="0.25">
      <c r="A22" s="1">
        <v>513361</v>
      </c>
      <c r="B22" s="46" t="s">
        <v>102</v>
      </c>
      <c r="C22" s="14">
        <v>0</v>
      </c>
      <c r="D22" s="14">
        <v>0</v>
      </c>
      <c r="E22" s="81">
        <v>9147.66</v>
      </c>
      <c r="F22" s="14">
        <v>11862.83</v>
      </c>
      <c r="G22" s="14">
        <v>0</v>
      </c>
      <c r="H22" s="14">
        <v>12628.47</v>
      </c>
      <c r="I22" s="14">
        <v>20110.39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2"/>
        <v>53749.35</v>
      </c>
      <c r="X22" s="23" t="s">
        <v>122</v>
      </c>
    </row>
    <row r="23" spans="1:24" hidden="1" x14ac:dyDescent="0.25">
      <c r="A23" s="1"/>
      <c r="B23" s="52"/>
      <c r="C23" s="38">
        <v>0</v>
      </c>
      <c r="D23" s="38">
        <v>0</v>
      </c>
      <c r="E23" s="123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123</v>
      </c>
      <c r="C27" s="14">
        <v>0</v>
      </c>
      <c r="D27" s="14">
        <v>0</v>
      </c>
      <c r="E27" s="81">
        <v>58</v>
      </c>
      <c r="F27" s="14">
        <v>0</v>
      </c>
      <c r="G27" s="14"/>
      <c r="H27" s="14">
        <v>0</v>
      </c>
      <c r="I27" s="14">
        <v>0</v>
      </c>
      <c r="J27" s="14"/>
      <c r="K27" s="14"/>
      <c r="L27" s="14"/>
      <c r="M27" s="14"/>
      <c r="N27" s="14"/>
      <c r="O27" s="14">
        <f t="shared" si="2"/>
        <v>58</v>
      </c>
    </row>
    <row r="28" spans="1:24" x14ac:dyDescent="0.25">
      <c r="A28" s="1">
        <v>513512</v>
      </c>
      <c r="B28" s="46" t="s">
        <v>103</v>
      </c>
      <c r="C28" s="14">
        <v>2424.71</v>
      </c>
      <c r="D28" s="14">
        <v>1202.4000000000001</v>
      </c>
      <c r="E28" s="81">
        <v>1374.82</v>
      </c>
      <c r="F28" s="14">
        <v>714.8</v>
      </c>
      <c r="G28" s="14">
        <v>2724.35</v>
      </c>
      <c r="H28" s="14">
        <v>1245</v>
      </c>
      <c r="I28" s="14">
        <v>-491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2"/>
        <v>9195.08</v>
      </c>
    </row>
    <row r="29" spans="1:24" x14ac:dyDescent="0.25">
      <c r="A29" s="1">
        <v>513521</v>
      </c>
      <c r="B29" s="46" t="s">
        <v>127</v>
      </c>
      <c r="C29" s="14">
        <v>0</v>
      </c>
      <c r="D29" s="19">
        <v>0</v>
      </c>
      <c r="E29" s="81">
        <v>0</v>
      </c>
      <c r="F29" s="19">
        <v>0</v>
      </c>
      <c r="G29" s="14">
        <v>0</v>
      </c>
      <c r="H29" s="19">
        <v>633</v>
      </c>
      <c r="I29" s="14">
        <v>0</v>
      </c>
      <c r="J29" s="19"/>
      <c r="K29" s="14"/>
      <c r="L29" s="19"/>
      <c r="M29" s="14"/>
      <c r="N29" s="19"/>
      <c r="O29" s="14">
        <f t="shared" si="2"/>
        <v>633</v>
      </c>
    </row>
    <row r="30" spans="1:24" x14ac:dyDescent="0.25">
      <c r="A30" s="1">
        <v>513532</v>
      </c>
      <c r="B30" s="46" t="s">
        <v>104</v>
      </c>
      <c r="C30" s="14">
        <v>499.99</v>
      </c>
      <c r="D30" s="19">
        <v>0</v>
      </c>
      <c r="E30" s="81">
        <v>980</v>
      </c>
      <c r="F30" s="19">
        <v>0</v>
      </c>
      <c r="G30" s="14">
        <v>0</v>
      </c>
      <c r="H30" s="19">
        <v>0</v>
      </c>
      <c r="I30" s="14">
        <v>2799.99</v>
      </c>
      <c r="J30" s="19"/>
      <c r="K30" s="14"/>
      <c r="L30" s="19"/>
      <c r="M30" s="14"/>
      <c r="N30" s="19"/>
      <c r="O30" s="14">
        <f t="shared" si="2"/>
        <v>4279.9799999999996</v>
      </c>
    </row>
    <row r="31" spans="1:24" x14ac:dyDescent="0.25">
      <c r="A31" s="1">
        <v>513550</v>
      </c>
      <c r="B31" s="46" t="s">
        <v>115</v>
      </c>
      <c r="C31" s="14">
        <v>1902.4</v>
      </c>
      <c r="D31" s="19">
        <v>21417.37</v>
      </c>
      <c r="E31" s="81">
        <v>19258.32</v>
      </c>
      <c r="F31" s="19">
        <v>2293.19</v>
      </c>
      <c r="G31" s="14">
        <v>25340.880000000001</v>
      </c>
      <c r="H31" s="19">
        <v>0</v>
      </c>
      <c r="I31" s="14">
        <v>12494.57</v>
      </c>
      <c r="J31" s="19"/>
      <c r="K31" s="14"/>
      <c r="L31" s="19"/>
      <c r="M31" s="14"/>
      <c r="N31" s="19"/>
      <c r="O31" s="14">
        <f t="shared" si="2"/>
        <v>82706.73000000001</v>
      </c>
    </row>
    <row r="32" spans="1:24" x14ac:dyDescent="0.25">
      <c r="A32" s="1">
        <v>513571</v>
      </c>
      <c r="B32" s="46" t="s">
        <v>105</v>
      </c>
      <c r="C32" s="14">
        <v>-6119</v>
      </c>
      <c r="D32" s="19">
        <v>0</v>
      </c>
      <c r="E32" s="81">
        <v>986</v>
      </c>
      <c r="F32" s="19">
        <v>185.6</v>
      </c>
      <c r="G32" s="14">
        <v>0</v>
      </c>
      <c r="H32" s="19">
        <v>5840.6</v>
      </c>
      <c r="I32" s="14">
        <v>950.01</v>
      </c>
      <c r="J32" s="19"/>
      <c r="K32" s="14"/>
      <c r="L32" s="19"/>
      <c r="M32" s="14"/>
      <c r="N32" s="19"/>
      <c r="O32" s="14">
        <f t="shared" si="2"/>
        <v>1843.2100000000007</v>
      </c>
      <c r="R32" s="118"/>
    </row>
    <row r="33" spans="1:17" x14ac:dyDescent="0.25">
      <c r="A33" s="1">
        <v>513581</v>
      </c>
      <c r="B33" s="46" t="s">
        <v>106</v>
      </c>
      <c r="C33" s="14">
        <v>9.2799999999999994</v>
      </c>
      <c r="D33" s="19">
        <v>7424</v>
      </c>
      <c r="E33" s="81">
        <v>7424</v>
      </c>
      <c r="F33" s="19">
        <v>7424</v>
      </c>
      <c r="G33" s="14">
        <v>14848</v>
      </c>
      <c r="H33" s="19">
        <v>0</v>
      </c>
      <c r="I33" s="14">
        <v>7424</v>
      </c>
      <c r="J33" s="19"/>
      <c r="K33" s="14"/>
      <c r="L33" s="19"/>
      <c r="M33" s="14"/>
      <c r="N33" s="19"/>
      <c r="O33" s="14">
        <f t="shared" si="2"/>
        <v>44553.279999999999</v>
      </c>
    </row>
    <row r="34" spans="1:17" x14ac:dyDescent="0.25">
      <c r="A34" s="1">
        <v>513582</v>
      </c>
      <c r="B34" s="46" t="s">
        <v>107</v>
      </c>
      <c r="C34" s="14">
        <v>2100</v>
      </c>
      <c r="D34" s="19">
        <v>2100</v>
      </c>
      <c r="E34" s="81">
        <v>1700</v>
      </c>
      <c r="F34" s="19">
        <v>2100</v>
      </c>
      <c r="G34" s="14">
        <v>1750</v>
      </c>
      <c r="H34" s="19">
        <v>700</v>
      </c>
      <c r="I34" s="14">
        <v>2050</v>
      </c>
      <c r="J34" s="19"/>
      <c r="K34" s="14"/>
      <c r="L34" s="19"/>
      <c r="M34" s="14"/>
      <c r="N34" s="19"/>
      <c r="O34" s="14">
        <f t="shared" si="2"/>
        <v>12500</v>
      </c>
    </row>
    <row r="35" spans="1:17" x14ac:dyDescent="0.25">
      <c r="A35" s="1">
        <v>513741</v>
      </c>
      <c r="B35" s="46" t="s">
        <v>130</v>
      </c>
      <c r="C35" s="14">
        <v>300</v>
      </c>
      <c r="D35" s="19">
        <v>675</v>
      </c>
      <c r="E35" s="81">
        <v>798</v>
      </c>
      <c r="F35" s="19">
        <v>200</v>
      </c>
      <c r="G35" s="14">
        <v>450</v>
      </c>
      <c r="H35" s="19">
        <v>440</v>
      </c>
      <c r="I35" s="14">
        <v>60</v>
      </c>
      <c r="J35" s="19"/>
      <c r="K35" s="14"/>
      <c r="L35" s="19"/>
      <c r="M35" s="14"/>
      <c r="N35" s="19"/>
      <c r="O35" s="14">
        <f t="shared" si="2"/>
        <v>2923</v>
      </c>
    </row>
    <row r="36" spans="1:17" x14ac:dyDescent="0.25">
      <c r="A36" s="1">
        <v>513751</v>
      </c>
      <c r="B36" s="46" t="s">
        <v>49</v>
      </c>
      <c r="C36" s="14">
        <v>587.99</v>
      </c>
      <c r="D36" s="19">
        <v>0</v>
      </c>
      <c r="E36" s="81">
        <v>11800</v>
      </c>
      <c r="F36" s="19">
        <v>9340</v>
      </c>
      <c r="G36" s="14">
        <v>1622.87</v>
      </c>
      <c r="H36" s="19">
        <v>0</v>
      </c>
      <c r="I36" s="14">
        <v>-6800</v>
      </c>
      <c r="J36" s="19"/>
      <c r="K36" s="14"/>
      <c r="L36" s="19"/>
      <c r="M36" s="14"/>
      <c r="N36" s="19"/>
      <c r="O36" s="14">
        <f t="shared" si="2"/>
        <v>16550.859999999997</v>
      </c>
    </row>
    <row r="37" spans="1:17" x14ac:dyDescent="0.25">
      <c r="A37" s="1">
        <v>513840</v>
      </c>
      <c r="B37" s="46" t="s">
        <v>128</v>
      </c>
      <c r="C37" s="14">
        <v>0</v>
      </c>
      <c r="D37" s="19">
        <v>0</v>
      </c>
      <c r="E37" s="81">
        <v>290</v>
      </c>
      <c r="F37" s="19"/>
      <c r="G37" s="14"/>
      <c r="H37" s="19">
        <v>0</v>
      </c>
      <c r="I37" s="14">
        <v>0</v>
      </c>
      <c r="J37" s="19"/>
      <c r="K37" s="14"/>
      <c r="L37" s="19"/>
      <c r="M37" s="14"/>
      <c r="N37" s="19"/>
      <c r="O37" s="14">
        <f t="shared" si="2"/>
        <v>290</v>
      </c>
    </row>
    <row r="38" spans="1:17" x14ac:dyDescent="0.25">
      <c r="A38" s="1">
        <v>513910</v>
      </c>
      <c r="B38" s="46" t="s">
        <v>108</v>
      </c>
      <c r="C38" s="14">
        <v>957.74</v>
      </c>
      <c r="D38" s="19">
        <v>0</v>
      </c>
      <c r="E38" s="81">
        <v>380</v>
      </c>
      <c r="F38" s="19">
        <v>788.02</v>
      </c>
      <c r="G38" s="14"/>
      <c r="H38" s="19">
        <v>0</v>
      </c>
      <c r="I38" s="14">
        <v>332.25</v>
      </c>
      <c r="J38" s="19"/>
      <c r="K38" s="14"/>
      <c r="L38" s="19"/>
      <c r="M38" s="14"/>
      <c r="N38" s="19"/>
      <c r="O38" s="14">
        <f t="shared" si="2"/>
        <v>2458.0100000000002</v>
      </c>
    </row>
    <row r="39" spans="1:17" x14ac:dyDescent="0.25">
      <c r="A39" s="1">
        <v>513920</v>
      </c>
      <c r="B39" s="46" t="s">
        <v>124</v>
      </c>
      <c r="C39" s="14">
        <v>0</v>
      </c>
      <c r="D39" s="19">
        <v>0</v>
      </c>
      <c r="E39" s="81">
        <v>0</v>
      </c>
      <c r="F39" s="19">
        <v>0</v>
      </c>
      <c r="G39" s="14">
        <v>2236.75</v>
      </c>
      <c r="H39" s="19">
        <v>0</v>
      </c>
      <c r="I39" s="14">
        <v>0</v>
      </c>
      <c r="J39" s="19"/>
      <c r="K39" s="14"/>
      <c r="L39" s="19"/>
      <c r="M39" s="14"/>
      <c r="N39" s="19"/>
      <c r="O39" s="14">
        <f t="shared" si="2"/>
        <v>2236.75</v>
      </c>
    </row>
    <row r="40" spans="1:17" x14ac:dyDescent="0.25">
      <c r="A40" s="1">
        <v>513922</v>
      </c>
      <c r="B40" s="46" t="s">
        <v>121</v>
      </c>
      <c r="C40" s="14">
        <v>0</v>
      </c>
      <c r="D40" s="19">
        <v>0</v>
      </c>
      <c r="E40" s="81">
        <v>1285.01</v>
      </c>
      <c r="F40" s="19">
        <v>0</v>
      </c>
      <c r="G40" s="14">
        <v>340</v>
      </c>
      <c r="H40" s="19">
        <v>0</v>
      </c>
      <c r="I40" s="14">
        <v>0</v>
      </c>
      <c r="J40" s="19"/>
      <c r="K40" s="14"/>
      <c r="L40" s="19"/>
      <c r="M40" s="14"/>
      <c r="N40" s="19"/>
      <c r="O40" s="14">
        <f t="shared" si="2"/>
        <v>1625.01</v>
      </c>
    </row>
    <row r="41" spans="1:17" x14ac:dyDescent="0.25">
      <c r="A41" s="1">
        <v>513930</v>
      </c>
      <c r="B41" s="46" t="s">
        <v>116</v>
      </c>
      <c r="C41" s="14">
        <v>0</v>
      </c>
      <c r="D41" s="19">
        <v>7650.2</v>
      </c>
      <c r="E41" s="81">
        <v>10366.92</v>
      </c>
      <c r="F41" s="19">
        <v>0</v>
      </c>
      <c r="G41" s="14">
        <v>5283.62</v>
      </c>
      <c r="H41" s="19">
        <v>0</v>
      </c>
      <c r="I41" s="14">
        <v>0</v>
      </c>
      <c r="J41" s="19"/>
      <c r="K41" s="14"/>
      <c r="L41" s="19"/>
      <c r="M41" s="14"/>
      <c r="N41" s="19"/>
      <c r="O41" s="14">
        <f t="shared" si="2"/>
        <v>23300.739999999998</v>
      </c>
    </row>
    <row r="42" spans="1:17" x14ac:dyDescent="0.25">
      <c r="A42" s="1">
        <v>513941</v>
      </c>
      <c r="B42" s="46" t="s">
        <v>109</v>
      </c>
      <c r="C42" s="14">
        <v>-24328</v>
      </c>
      <c r="D42" s="19">
        <v>0</v>
      </c>
      <c r="E42" s="81">
        <v>0</v>
      </c>
      <c r="F42" s="19">
        <v>0</v>
      </c>
      <c r="G42" s="14">
        <v>46691.54</v>
      </c>
      <c r="H42" s="19">
        <v>0</v>
      </c>
      <c r="I42" s="14">
        <v>0</v>
      </c>
      <c r="J42" s="79">
        <v>0</v>
      </c>
      <c r="K42" s="81">
        <v>0</v>
      </c>
      <c r="L42" s="79">
        <v>0</v>
      </c>
      <c r="M42" s="14">
        <v>0</v>
      </c>
      <c r="N42" s="19">
        <v>0</v>
      </c>
      <c r="O42" s="14">
        <f t="shared" si="2"/>
        <v>22363.54</v>
      </c>
    </row>
    <row r="43" spans="1:17" ht="15.75" thickBot="1" x14ac:dyDescent="0.3">
      <c r="A43" s="1">
        <v>513970</v>
      </c>
      <c r="B43" s="116" t="s">
        <v>117</v>
      </c>
      <c r="C43" s="117">
        <v>0</v>
      </c>
      <c r="D43" s="50">
        <v>19425.759999999998</v>
      </c>
      <c r="E43" s="120">
        <v>18624.62</v>
      </c>
      <c r="F43" s="50">
        <v>18536.88</v>
      </c>
      <c r="G43" s="117">
        <v>18429.5</v>
      </c>
      <c r="H43" s="50">
        <v>20876.310000000001</v>
      </c>
      <c r="I43" s="117">
        <v>26029</v>
      </c>
      <c r="J43" s="119"/>
      <c r="K43" s="120"/>
      <c r="L43" s="119"/>
      <c r="M43" s="117"/>
      <c r="N43" s="50"/>
      <c r="O43" s="14">
        <f t="shared" si="2"/>
        <v>121922.06999999999</v>
      </c>
    </row>
    <row r="44" spans="1:17" ht="15.75" thickBot="1" x14ac:dyDescent="0.3">
      <c r="B44" s="16" t="s">
        <v>17</v>
      </c>
      <c r="C44" s="17">
        <f>SUM(C10:C42)</f>
        <v>33880.719999999994</v>
      </c>
      <c r="D44" s="17">
        <f>SUM(D9:D43)</f>
        <v>137285.63999999998</v>
      </c>
      <c r="E44" s="17">
        <f>SUM(E9:E43)</f>
        <v>175499.65000000002</v>
      </c>
      <c r="F44" s="17">
        <f>SUM(F9:F43)</f>
        <v>130423.57000000002</v>
      </c>
      <c r="G44" s="17">
        <f>SUM(G10:G43)</f>
        <v>187498.69</v>
      </c>
      <c r="H44" s="17">
        <f>SUM(H9:H43)</f>
        <v>130822.95000000001</v>
      </c>
      <c r="I44" s="17">
        <f>SUM(I10:I43)</f>
        <v>148039.21000000002</v>
      </c>
      <c r="J44" s="17">
        <f t="shared" ref="J44:N44" si="3">SUM(J10:J42)</f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>SUM(O9:O43)</f>
        <v>943450.42999999993</v>
      </c>
      <c r="Q44" s="1"/>
    </row>
    <row r="45" spans="1:17" x14ac:dyDescent="0.2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7" x14ac:dyDescent="0.25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7" x14ac:dyDescent="0.25">
      <c r="E47" s="72"/>
    </row>
    <row r="48" spans="1:17" x14ac:dyDescent="0.25">
      <c r="B48" s="40"/>
      <c r="C48" s="40"/>
      <c r="H48" s="48"/>
    </row>
    <row r="49" spans="1:8" x14ac:dyDescent="0.25">
      <c r="A49" s="1" t="s">
        <v>0</v>
      </c>
      <c r="B49" s="1" t="s">
        <v>75</v>
      </c>
      <c r="C49" s="1"/>
      <c r="H49" s="24"/>
    </row>
    <row r="50" spans="1:8" x14ac:dyDescent="0.25">
      <c r="A50" s="1"/>
      <c r="B50" s="1" t="s">
        <v>76</v>
      </c>
      <c r="C50" s="1"/>
    </row>
    <row r="51" spans="1:8" x14ac:dyDescent="0.25">
      <c r="A51" s="1"/>
      <c r="B51" s="1"/>
      <c r="C51" s="1"/>
    </row>
  </sheetData>
  <mergeCells count="4">
    <mergeCell ref="B7:B8"/>
    <mergeCell ref="B1:O1"/>
    <mergeCell ref="B2:O2"/>
    <mergeCell ref="B3:P3"/>
  </mergeCells>
  <phoneticPr fontId="0" type="noConversion"/>
  <pageMargins left="0.98425196850393704" right="0.19685039370078741" top="0.74803149606299213" bottom="0.98425196850393704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>
      <selection sqref="A1:P18"/>
    </sheetView>
  </sheetViews>
  <sheetFormatPr baseColWidth="10" defaultRowHeight="12.75" x14ac:dyDescent="0.2"/>
  <cols>
    <col min="2" max="2" width="23.7109375" customWidth="1"/>
    <col min="3" max="3" width="17.7109375" customWidth="1"/>
    <col min="4" max="9" width="11.42578125" customWidth="1"/>
    <col min="10" max="14" width="11.42578125" hidden="1" customWidth="1"/>
    <col min="15" max="15" width="18" customWidth="1"/>
  </cols>
  <sheetData>
    <row r="1" spans="1:17" s="23" customFormat="1" ht="22.5" x14ac:dyDescent="0.45">
      <c r="A1" s="113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s="23" customFormat="1" ht="22.5" x14ac:dyDescent="0.45">
      <c r="A2" s="113"/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s="23" customFormat="1" ht="22.5" x14ac:dyDescent="0.45">
      <c r="A3" s="113"/>
      <c r="B3" s="129" t="s">
        <v>129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5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83</v>
      </c>
      <c r="B9" s="101" t="s">
        <v>48</v>
      </c>
      <c r="C9" s="102">
        <v>93516</v>
      </c>
      <c r="D9" s="103">
        <v>93516</v>
      </c>
      <c r="E9" s="102">
        <v>93516</v>
      </c>
      <c r="F9" s="103">
        <v>93516</v>
      </c>
      <c r="G9" s="102">
        <v>93516</v>
      </c>
      <c r="H9" s="103">
        <v>93516</v>
      </c>
      <c r="I9" s="102">
        <v>93516</v>
      </c>
      <c r="J9" s="104">
        <v>0</v>
      </c>
      <c r="K9" s="105">
        <v>0</v>
      </c>
      <c r="L9" s="104">
        <v>0</v>
      </c>
      <c r="M9" s="102">
        <v>0</v>
      </c>
      <c r="N9" s="103">
        <v>0</v>
      </c>
      <c r="O9" s="102">
        <f>SUM(C9:N9)</f>
        <v>654612</v>
      </c>
      <c r="P9" s="83"/>
      <c r="Q9" s="75"/>
    </row>
    <row r="10" spans="1:17" ht="13.5" thickBot="1" x14ac:dyDescent="0.25">
      <c r="B10" s="108" t="s">
        <v>17</v>
      </c>
      <c r="C10" s="109">
        <f>SUM(C9)</f>
        <v>93516</v>
      </c>
      <c r="D10" s="109">
        <f t="shared" ref="D10:N10" si="1">SUM(D9)</f>
        <v>93516</v>
      </c>
      <c r="E10" s="109">
        <f t="shared" si="1"/>
        <v>93516</v>
      </c>
      <c r="F10" s="109">
        <f t="shared" si="1"/>
        <v>93516</v>
      </c>
      <c r="G10" s="109">
        <f t="shared" si="1"/>
        <v>93516</v>
      </c>
      <c r="H10" s="109">
        <f t="shared" si="1"/>
        <v>93516</v>
      </c>
      <c r="I10" s="109">
        <f t="shared" si="1"/>
        <v>93516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>+O9</f>
        <v>654612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75</v>
      </c>
      <c r="C17" s="1"/>
    </row>
    <row r="18" spans="1:3" ht="15" x14ac:dyDescent="0.25">
      <c r="A18" s="1"/>
      <c r="B18" s="1" t="s">
        <v>76</v>
      </c>
      <c r="C18" s="1"/>
    </row>
  </sheetData>
  <mergeCells count="4">
    <mergeCell ref="B1:O1"/>
    <mergeCell ref="B2:O2"/>
    <mergeCell ref="B7:B8"/>
    <mergeCell ref="B3:P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customWidth="1"/>
    <col min="6" max="6" width="12.7109375" style="23" customWidth="1"/>
    <col min="7" max="7" width="11.140625" style="23" customWidth="1"/>
    <col min="8" max="8" width="10" style="23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6" ht="22.5" x14ac:dyDescent="0.4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6" ht="22.5" x14ac:dyDescent="0.45">
      <c r="B3" s="129" t="s">
        <v>125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77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6">
        <v>0</v>
      </c>
      <c r="E11" s="38">
        <v>0</v>
      </c>
      <c r="F11" s="106">
        <v>0</v>
      </c>
      <c r="G11" s="38">
        <v>0</v>
      </c>
      <c r="H11" s="106">
        <v>0</v>
      </c>
      <c r="I11" s="38">
        <v>0</v>
      </c>
      <c r="J11" s="106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86</v>
      </c>
      <c r="B12" s="39" t="s">
        <v>87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7">
        <f>SUM(C12:N12)</f>
        <v>0</v>
      </c>
    </row>
    <row r="13" spans="1:16" hidden="1" x14ac:dyDescent="0.25">
      <c r="B13" s="69" t="s">
        <v>25</v>
      </c>
      <c r="C13" s="29">
        <v>0</v>
      </c>
      <c r="D13" s="99">
        <v>0</v>
      </c>
      <c r="E13" s="29">
        <v>0</v>
      </c>
      <c r="F13" s="99">
        <v>0</v>
      </c>
      <c r="G13" s="29">
        <v>0</v>
      </c>
      <c r="H13" s="99">
        <v>0</v>
      </c>
      <c r="I13" s="29">
        <v>0</v>
      </c>
      <c r="J13" s="99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57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10" t="s">
        <v>17</v>
      </c>
      <c r="C19" s="111">
        <f>+C12</f>
        <v>0</v>
      </c>
      <c r="D19" s="111">
        <f t="shared" ref="D19:N19" si="2">+D12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A25" sqref="A25:I30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8"/>
      <c r="B1" s="98"/>
      <c r="C1" s="98"/>
      <c r="D1" s="98"/>
      <c r="E1" s="98"/>
      <c r="F1" s="98"/>
      <c r="G1" s="98"/>
      <c r="H1" s="98"/>
    </row>
    <row r="19" spans="2:8" ht="13.5" customHeight="1" x14ac:dyDescent="0.2">
      <c r="B19" s="136"/>
      <c r="C19" s="136"/>
      <c r="D19" s="136"/>
      <c r="E19" s="136"/>
      <c r="F19" s="136"/>
      <c r="G19" s="136"/>
      <c r="H19" s="136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topLeftCell="A2" workbookViewId="0">
      <selection sqref="A1:G17"/>
    </sheetView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56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2015-08-31T17:45:21Z</cp:lastPrinted>
  <dcterms:created xsi:type="dcterms:W3CDTF">1998-08-25T22:59:10Z</dcterms:created>
  <dcterms:modified xsi:type="dcterms:W3CDTF">2016-05-27T17:18:11Z</dcterms:modified>
</cp:coreProperties>
</file>